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6"/>
  </bookViews>
  <sheets>
    <sheet name="д.2 тарифи 869 пост за табл 7.1" sheetId="1" r:id="rId1"/>
    <sheet name="д.3 розр за табл 2.3-2.6" sheetId="2" r:id="rId2"/>
    <sheet name="д.4 за табл 2.1" sheetId="3" r:id="rId3"/>
    <sheet name="Лист1" sheetId="4" state="hidden" r:id="rId4"/>
    <sheet name="ГВП" sheetId="5" r:id="rId5"/>
    <sheet name="собіварт" sheetId="6" r:id="rId6"/>
    <sheet name="соб Коміс" sheetId="7" r:id="rId7"/>
    <sheet name="Структура послуги аналіз" sheetId="8" r:id="rId8"/>
    <sheet name="Додаток4" sheetId="9" r:id="rId9"/>
  </sheets>
  <externalReferences>
    <externalReference r:id="rId12"/>
    <externalReference r:id="rId13"/>
    <externalReference r:id="rId14"/>
  </externalReferences>
  <definedNames>
    <definedName name="_xlfn.IFERROR" hidden="1">#NAME?</definedName>
    <definedName name="Z_8839ED87_9C42_4CC2_A1AD_6EF9611832A1_.wvu.Cols" localSheetId="8" hidden="1">'Додаток4'!$K:$R</definedName>
    <definedName name="Z_8839ED87_9C42_4CC2_A1AD_6EF9611832A1_.wvu.Cols" localSheetId="7" hidden="1">'Структура послуги аналіз'!$K:$R</definedName>
    <definedName name="Z_8839ED87_9C42_4CC2_A1AD_6EF9611832A1_.wvu.PrintArea" localSheetId="8" hidden="1">'Додаток4'!$A$1:$J$50</definedName>
    <definedName name="Z_8839ED87_9C42_4CC2_A1AD_6EF9611832A1_.wvu.PrintArea" localSheetId="7" hidden="1">'Структура послуги аналіз'!$A$1:$J$62</definedName>
    <definedName name="Z_8839ED87_9C42_4CC2_A1AD_6EF9611832A1_.wvu.Rows" localSheetId="8" hidden="1">'Додаток4'!$28:$30,'Додаток4'!$36:$36,'Додаток4'!$43:$47</definedName>
    <definedName name="Z_8839ED87_9C42_4CC2_A1AD_6EF9611832A1_.wvu.Rows" localSheetId="7" hidden="1">'Структура послуги аналіз'!$32:$34,'Структура послуги аналіз'!$43:$43,'Структура послуги аналіз'!$50:$51</definedName>
    <definedName name="Z_BF9F446D_D2F9_4EAA_BD71_B531E336462E_.wvu.Cols" localSheetId="8" hidden="1">'Додаток4'!$K:$R</definedName>
    <definedName name="Z_BF9F446D_D2F9_4EAA_BD71_B531E336462E_.wvu.Cols" localSheetId="7" hidden="1">'Структура послуги аналіз'!$K:$R</definedName>
    <definedName name="Z_BF9F446D_D2F9_4EAA_BD71_B531E336462E_.wvu.PrintArea" localSheetId="8" hidden="1">'Додаток4'!$A$1:$J$50</definedName>
    <definedName name="Z_BF9F446D_D2F9_4EAA_BD71_B531E336462E_.wvu.PrintArea" localSheetId="7" hidden="1">'Структура послуги аналіз'!$A$1:$J$62</definedName>
    <definedName name="Z_BF9F446D_D2F9_4EAA_BD71_B531E336462E_.wvu.Rows" localSheetId="8" hidden="1">'Додаток4'!$28:$30,'Додаток4'!$36:$36,'Додаток4'!$43:$47</definedName>
    <definedName name="Z_BF9F446D_D2F9_4EAA_BD71_B531E336462E_.wvu.Rows" localSheetId="7" hidden="1">'Структура послуги аналіз'!$32:$34,'Структура послуги аналіз'!$43:$43,'Структура послуги аналіз'!$50:$51</definedName>
    <definedName name="_xlnm.Print_Titles" localSheetId="1">'д.3 розр за табл 2.3-2.6'!$7:$9</definedName>
    <definedName name="_xlnm.Print_Titles" localSheetId="5">'собіварт'!$3:$8</definedName>
    <definedName name="_xlnm.Print_Area" localSheetId="4">'ГВП'!$A$1:$P$52</definedName>
    <definedName name="_xlnm.Print_Area" localSheetId="0">'д.2 тарифи 869 пост за табл 7.1'!$A$1:$I$45</definedName>
    <definedName name="_xlnm.Print_Area" localSheetId="8">'Додаток4'!$A$1:$J$50</definedName>
    <definedName name="_xlnm.Print_Area" localSheetId="7">'Структура послуги аналіз'!$A$1:$S$62</definedName>
  </definedNames>
  <calcPr fullCalcOnLoad="1"/>
</workbook>
</file>

<file path=xl/sharedStrings.xml><?xml version="1.0" encoding="utf-8"?>
<sst xmlns="http://schemas.openxmlformats.org/spreadsheetml/2006/main" count="1564" uniqueCount="408">
  <si>
    <t>Показник</t>
  </si>
  <si>
    <t>1-2 поверхових будинків</t>
  </si>
  <si>
    <t>3-4 поверхових будинків</t>
  </si>
  <si>
    <t>в 5 і більше поверхів</t>
  </si>
  <si>
    <t>Кількість абонентів, яким надається послуга з опалення</t>
  </si>
  <si>
    <t>для 1-2 поверхових будинків</t>
  </si>
  <si>
    <t>для 3-4 поверхових будинків</t>
  </si>
  <si>
    <t>для 5 і більше поверхових будинків</t>
  </si>
  <si>
    <t>1.</t>
  </si>
  <si>
    <t>2.</t>
  </si>
  <si>
    <t xml:space="preserve">  2.1</t>
  </si>
  <si>
    <t xml:space="preserve">  2.2</t>
  </si>
  <si>
    <t xml:space="preserve">  2.3</t>
  </si>
  <si>
    <t>3.</t>
  </si>
  <si>
    <t xml:space="preserve"> 3.1</t>
  </si>
  <si>
    <t xml:space="preserve"> 3.2</t>
  </si>
  <si>
    <t xml:space="preserve"> 3.3</t>
  </si>
  <si>
    <t>4.</t>
  </si>
  <si>
    <t>5.</t>
  </si>
  <si>
    <t xml:space="preserve"> 4.1</t>
  </si>
  <si>
    <t xml:space="preserve"> 4.2</t>
  </si>
  <si>
    <t xml:space="preserve"> 4.3</t>
  </si>
  <si>
    <t xml:space="preserve"> 1-2 поверхових будинків</t>
  </si>
  <si>
    <t xml:space="preserve"> 3-4 поверхових будинків</t>
  </si>
  <si>
    <t xml:space="preserve"> 5 і більше поверхових будинків</t>
  </si>
  <si>
    <t>6.</t>
  </si>
  <si>
    <t>з будинковими приладами обліку т/е (враховано у економічно-обгрунтованому тарифі на т/е)</t>
  </si>
  <si>
    <t>у тому числі:</t>
  </si>
  <si>
    <t>№ з/п</t>
  </si>
  <si>
    <t>Усього,</t>
  </si>
  <si>
    <t>Дані, які враховано у розрахунку економічно обгрунтованих тарифів на т. е.:</t>
  </si>
  <si>
    <t>Нормативний річний обсяг теплової енергії на потреби опалення житлових будинків, який враховано у розрахунку економічно обгрунтованих тарифів на т. е., Гкал, усього, у т.ч.:</t>
  </si>
  <si>
    <t>7.</t>
  </si>
  <si>
    <t>8.</t>
  </si>
  <si>
    <t>9.</t>
  </si>
  <si>
    <t>Х</t>
  </si>
  <si>
    <t>Сума рядків 3 і 5, Гкал</t>
  </si>
  <si>
    <t>Дані згідно з додатком 1 до КТМ 204 України 244-94:</t>
  </si>
  <si>
    <t xml:space="preserve">Директор підприємства </t>
  </si>
  <si>
    <t>_____________</t>
  </si>
  <si>
    <t>___________________________</t>
  </si>
  <si>
    <t>(ПІБ)</t>
  </si>
  <si>
    <t>(підпис) М.П.</t>
  </si>
  <si>
    <t xml:space="preserve">Виконавець </t>
  </si>
  <si>
    <t>посада</t>
  </si>
  <si>
    <t>____________</t>
  </si>
  <si>
    <t>_______________</t>
  </si>
  <si>
    <t>контактний телефон</t>
  </si>
  <si>
    <t xml:space="preserve"> 7.1</t>
  </si>
  <si>
    <t xml:space="preserve"> 7.2</t>
  </si>
  <si>
    <t xml:space="preserve"> 7.3</t>
  </si>
  <si>
    <t xml:space="preserve"> 8.1</t>
  </si>
  <si>
    <t xml:space="preserve"> 8.2</t>
  </si>
  <si>
    <t xml:space="preserve"> 8.3</t>
  </si>
  <si>
    <t>Дані згідно з ДСТУ-Н Б В.1.1-27:2010 Будівельна кліматологія:</t>
  </si>
  <si>
    <t xml:space="preserve"> 9.1</t>
  </si>
  <si>
    <t xml:space="preserve"> 9.2</t>
  </si>
  <si>
    <t xml:space="preserve"> 9.3</t>
  </si>
  <si>
    <t>Загальна опалювальна площа житлових будинків, які було враховано при розрахунку економічно обгрунтованих тарифів на т.е. (без площі квартир з автономним опаленням), м.кв., усього, у т.ч.:</t>
  </si>
  <si>
    <t>Питоме споживання теплової енергії на потреби опалення житлових будинків п. 2, Гкал/м.кв. на рік, у т.ч.:</t>
  </si>
  <si>
    <t>кількість діб опалювального періоду</t>
  </si>
  <si>
    <r>
      <t>споруджених</t>
    </r>
    <r>
      <rPr>
        <sz val="12"/>
        <color indexed="8"/>
        <rFont val="Times New Roman"/>
        <family val="1"/>
      </rPr>
      <t xml:space="preserve"> до 1930 р.</t>
    </r>
  </si>
  <si>
    <r>
      <t>споруджених</t>
    </r>
    <r>
      <rPr>
        <sz val="12"/>
        <color indexed="8"/>
        <rFont val="Times New Roman"/>
        <family val="1"/>
      </rPr>
      <t xml:space="preserve"> з 1930 по 1958 р.р.</t>
    </r>
  </si>
  <si>
    <r>
      <t>споруджених</t>
    </r>
    <r>
      <rPr>
        <sz val="12"/>
        <color indexed="8"/>
        <rFont val="Times New Roman"/>
        <family val="1"/>
      </rPr>
      <t xml:space="preserve"> з 1959 по 1970 р.р.</t>
    </r>
  </si>
  <si>
    <r>
      <t>споруджених</t>
    </r>
    <r>
      <rPr>
        <sz val="12"/>
        <color indexed="8"/>
        <rFont val="Times New Roman"/>
        <family val="1"/>
      </rPr>
      <t xml:space="preserve"> з 1971 по 1980 р.р.</t>
    </r>
  </si>
  <si>
    <r>
      <t>споруджених</t>
    </r>
    <r>
      <rPr>
        <sz val="12"/>
        <color indexed="8"/>
        <rFont val="Times New Roman"/>
        <family val="1"/>
      </rPr>
      <t xml:space="preserve"> з 1981 по 1985 р.р.</t>
    </r>
  </si>
  <si>
    <r>
      <t>споруджених</t>
    </r>
    <r>
      <rPr>
        <sz val="12"/>
        <color indexed="8"/>
        <rFont val="Times New Roman"/>
        <family val="1"/>
      </rPr>
      <t xml:space="preserve"> з 2000 р.</t>
    </r>
  </si>
  <si>
    <t xml:space="preserve"> 2.1.1</t>
  </si>
  <si>
    <t xml:space="preserve"> 2.1.2</t>
  </si>
  <si>
    <t xml:space="preserve"> 2.1.3</t>
  </si>
  <si>
    <t xml:space="preserve"> 2.1.4</t>
  </si>
  <si>
    <t xml:space="preserve"> 2.1.5</t>
  </si>
  <si>
    <t xml:space="preserve"> 2.1.6</t>
  </si>
  <si>
    <t xml:space="preserve"> 2.1.7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</si>
  <si>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</si>
  <si>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</si>
  <si>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</si>
  <si>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</si>
  <si>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</si>
  <si>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</si>
  <si>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</si>
  <si>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>3-4 поверхових будинків, у т.ч.:</t>
  </si>
  <si>
    <t>1-2 поверхових будинків, у т.ч.:</t>
  </si>
  <si>
    <t xml:space="preserve"> 2.3.1</t>
  </si>
  <si>
    <t xml:space="preserve"> 2.3.2</t>
  </si>
  <si>
    <t xml:space="preserve"> 2.3.3</t>
  </si>
  <si>
    <t xml:space="preserve"> 2.3.4</t>
  </si>
  <si>
    <t xml:space="preserve"> 2.3.5</t>
  </si>
  <si>
    <t xml:space="preserve"> 2.3.6</t>
  </si>
  <si>
    <t xml:space="preserve"> 2.3.7</t>
  </si>
  <si>
    <t>в 5 і більше поверхів, у т.ч.:</t>
  </si>
  <si>
    <t xml:space="preserve"> 4.1.1</t>
  </si>
  <si>
    <t xml:space="preserve"> 4.1.2</t>
  </si>
  <si>
    <t xml:space="preserve"> 4.1.3</t>
  </si>
  <si>
    <t xml:space="preserve"> 4.1.4</t>
  </si>
  <si>
    <t xml:space="preserve"> 4.1.5</t>
  </si>
  <si>
    <t xml:space="preserve"> 4.1.6</t>
  </si>
  <si>
    <t xml:space="preserve"> 4.1.7</t>
  </si>
  <si>
    <t xml:space="preserve"> 4.2.1</t>
  </si>
  <si>
    <t xml:space="preserve"> 4.2.2</t>
  </si>
  <si>
    <t xml:space="preserve"> 4.2.3</t>
  </si>
  <si>
    <t xml:space="preserve"> 4.2.4</t>
  </si>
  <si>
    <t xml:space="preserve"> 4.2.5</t>
  </si>
  <si>
    <t xml:space="preserve"> 4.2.6</t>
  </si>
  <si>
    <t xml:space="preserve"> 4.2.7</t>
  </si>
  <si>
    <t xml:space="preserve"> 4.3.1</t>
  </si>
  <si>
    <t xml:space="preserve"> 3-4 поверхових будинків, у т.ч.:</t>
  </si>
  <si>
    <t xml:space="preserve"> 1-2 поверхових будинків, у т.ч.:</t>
  </si>
  <si>
    <t xml:space="preserve"> 5 і більше поверхових будинків, у т.ч.</t>
  </si>
  <si>
    <t xml:space="preserve"> 4.3.2</t>
  </si>
  <si>
    <t xml:space="preserve"> 4.3.3</t>
  </si>
  <si>
    <t xml:space="preserve"> 4.3.4</t>
  </si>
  <si>
    <t xml:space="preserve"> 4.3.5</t>
  </si>
  <si>
    <t xml:space="preserve"> 4.3.6</t>
  </si>
  <si>
    <t xml:space="preserve"> 4.3.7</t>
  </si>
  <si>
    <r>
      <t>споруджених</t>
    </r>
    <r>
      <rPr>
        <sz val="12"/>
        <color indexed="8"/>
        <rFont val="Times New Roman"/>
        <family val="1"/>
      </rPr>
      <t xml:space="preserve"> до 1985 р.</t>
    </r>
  </si>
  <si>
    <r>
      <t>споруджених</t>
    </r>
    <r>
      <rPr>
        <sz val="12"/>
        <color indexed="8"/>
        <rFont val="Times New Roman"/>
        <family val="1"/>
      </rPr>
      <t xml:space="preserve"> після 1985 р.</t>
    </r>
  </si>
  <si>
    <t>без будинкових приладів обліку т/е (розрахованих за вимогами КТМ 204 України 244-94)</t>
  </si>
  <si>
    <t>М.П</t>
  </si>
  <si>
    <t>Обсяг теплової енергії на потреби гарячого водопостачання населення, який враховано у розрахунку економічно обгрунтованих тарифів на т. е., Гкал</t>
  </si>
  <si>
    <t>_______________        _______________________</t>
  </si>
  <si>
    <t>керівник/заступник виконавчого органу місцевого самоврядування</t>
  </si>
  <si>
    <t xml:space="preserve">   _________________  _____________ </t>
  </si>
  <si>
    <t>М.П.</t>
  </si>
  <si>
    <t xml:space="preserve"> 5 і більше поверхових будинків, у т.ч.:</t>
  </si>
  <si>
    <t xml:space="preserve"> </t>
  </si>
  <si>
    <t>начальник УЖКГ місцевого самоврядування</t>
  </si>
  <si>
    <r>
      <t>споруджених</t>
    </r>
    <r>
      <rPr>
        <sz val="12"/>
        <color indexed="8"/>
        <rFont val="Times New Roman"/>
        <family val="1"/>
      </rPr>
      <t xml:space="preserve"> з 1986 по 1999 р.р.</t>
    </r>
  </si>
  <si>
    <t>Таблиця 2.1 КТМ</t>
  </si>
  <si>
    <t>Укрупнені показники максимального теплового потоку на опалення житлових будівель на 1 м2 загальної площі</t>
  </si>
  <si>
    <t xml:space="preserve">Етажність житлових будинків </t>
  </si>
  <si>
    <t>Характеристика будинків</t>
  </si>
  <si>
    <t>Розрахункова температура звнішнього повітря для проектування опалення tр.о. 0С</t>
  </si>
  <si>
    <t>минус 5</t>
  </si>
  <si>
    <t>минус 10</t>
  </si>
  <si>
    <t>минус 15</t>
  </si>
  <si>
    <t>минус 20</t>
  </si>
  <si>
    <t>минус 25</t>
  </si>
  <si>
    <t>минус 30</t>
  </si>
  <si>
    <t>минус 35</t>
  </si>
  <si>
    <t>минус 40</t>
  </si>
  <si>
    <t>минус 45</t>
  </si>
  <si>
    <t>минус 50</t>
  </si>
  <si>
    <t>минус 55</t>
  </si>
  <si>
    <t>Для будинків споруджених до 1985 року</t>
  </si>
  <si>
    <t>1-2</t>
  </si>
  <si>
    <t>Без урахування впровадження енергозберігаючих заходів</t>
  </si>
  <si>
    <t>3-4</t>
  </si>
  <si>
    <t>5 та більше поверхів</t>
  </si>
  <si>
    <t>З урахування впровадження енергозберігаючих заходів</t>
  </si>
  <si>
    <t>Для будинків споруджених після 1985 року</t>
  </si>
  <si>
    <t>По новим типовим проектам</t>
  </si>
  <si>
    <r>
      <t>споруджених</t>
    </r>
    <r>
      <rPr>
        <sz val="12"/>
        <color indexed="8"/>
        <rFont val="Times New Roman"/>
        <family val="1"/>
      </rPr>
      <t xml:space="preserve"> після 1986 р.</t>
    </r>
  </si>
  <si>
    <t>Відповдіна кількість мешканців, яким надається послуга з ГВП</t>
  </si>
  <si>
    <t xml:space="preserve">  3.1.1</t>
  </si>
  <si>
    <t xml:space="preserve">  3.1.2</t>
  </si>
  <si>
    <t xml:space="preserve">  3.1.3</t>
  </si>
  <si>
    <t>кількість мешканців, які отримують послугу ГВП за нормою п. 3.1.1</t>
  </si>
  <si>
    <t xml:space="preserve">розрахунковий річний обсяг послуги ГВП за нормою п. 3.1.1, куб.м. </t>
  </si>
  <si>
    <t xml:space="preserve">  3.2.1</t>
  </si>
  <si>
    <t xml:space="preserve">  3.2.2</t>
  </si>
  <si>
    <t xml:space="preserve">  3.2.3</t>
  </si>
  <si>
    <t>кількість мешканців, які отримують послугу ГВП за нормою п. 3.2.1</t>
  </si>
  <si>
    <t xml:space="preserve">розрахунковий річний обсяг послуги ГВП за нормою п. 3.2.1, куб.м. </t>
  </si>
  <si>
    <t>кількість мешканців, які отримують послугу ГВП за нормою п. 3.3.1</t>
  </si>
  <si>
    <t xml:space="preserve">  3.3.1</t>
  </si>
  <si>
    <t xml:space="preserve">  3.3.2</t>
  </si>
  <si>
    <t xml:space="preserve">  3.3.3</t>
  </si>
  <si>
    <t xml:space="preserve">розрахунковий річний обсяг послуги ГВП за нормою п. 3.3.1, куб.м. </t>
  </si>
  <si>
    <t>кількість мешканців, які отримують послугу ГВП за нормою п. 3.4.1</t>
  </si>
  <si>
    <t xml:space="preserve">розрахунковий річний обсяг послуги ГВП за нормою п. 3.4.1, куб.м. </t>
  </si>
  <si>
    <t xml:space="preserve">  3.4.1</t>
  </si>
  <si>
    <t xml:space="preserve">  3.4.2</t>
  </si>
  <si>
    <t xml:space="preserve">  3.4.3</t>
  </si>
  <si>
    <t>кількість мешканців, які отримують послугу ГВП за нормою п. 3.5.1</t>
  </si>
  <si>
    <t xml:space="preserve">розрахунковий річний обсяг послуги ГВП за нормою п. 3.5.1, куб.м. </t>
  </si>
  <si>
    <t>Обсяг використання споживачами населення гарчої води, який був використаний при розрахунку економічно обгрунтованих тарифів на теплову енергію, куб.м. на рік</t>
  </si>
  <si>
    <t xml:space="preserve">норма 1, м.куб на місяць   </t>
  </si>
  <si>
    <t xml:space="preserve">норма 2, м.куб на місяць   </t>
  </si>
  <si>
    <t xml:space="preserve">норма 3, м.куб на місяць   </t>
  </si>
  <si>
    <t xml:space="preserve">норма 4, м.куб на місяць   </t>
  </si>
  <si>
    <t xml:space="preserve">норма 5, м.куб на місяць   </t>
  </si>
  <si>
    <t>Обсяг теплової енергії на потреби гарячого водопостачання населення, який враховано у розрахунку економічно обгрунтованих тарифів на т. е., Гкал (для перевірки)</t>
  </si>
  <si>
    <t>Назва показника</t>
  </si>
  <si>
    <t>Усього на послуги:</t>
  </si>
  <si>
    <t>Усього на послугу з централізованого опалення:</t>
  </si>
  <si>
    <t>теж на 1 кв. м.</t>
  </si>
  <si>
    <t>теж на 1 куб. м.</t>
  </si>
  <si>
    <t>з будинковими приладами обліку т/е</t>
  </si>
  <si>
    <t>без будинкових приладів обліку т/е</t>
  </si>
  <si>
    <t>тис. грн.</t>
  </si>
  <si>
    <t>грн/кв.м. на рік</t>
  </si>
  <si>
    <t>грн/куб.м.</t>
  </si>
  <si>
    <t>3.1.</t>
  </si>
  <si>
    <t>3.1.1.</t>
  </si>
  <si>
    <t>3.1.2.</t>
  </si>
  <si>
    <t>3.2.</t>
  </si>
  <si>
    <t>3.2.1.</t>
  </si>
  <si>
    <t>3.2.2.</t>
  </si>
  <si>
    <t>Витрати на утримання абонентської служби, усього, у т.ч.:</t>
  </si>
  <si>
    <t xml:space="preserve"> 2.1</t>
  </si>
  <si>
    <t xml:space="preserve">витрати на оплату праці </t>
  </si>
  <si>
    <t xml:space="preserve"> 2.2</t>
  </si>
  <si>
    <t xml:space="preserve">відрахування на соціальні заходи </t>
  </si>
  <si>
    <t xml:space="preserve"> 2.3</t>
  </si>
  <si>
    <t>інші витрати абонентської служби (розшифрувати)</t>
  </si>
  <si>
    <t>Витрати на періодичну повірку квартирних засобів обліку (розшифрувати)</t>
  </si>
  <si>
    <t>Витрати на придбання води для послуги з гарячого водопостачання</t>
  </si>
  <si>
    <t>x</t>
  </si>
  <si>
    <t>Решта витрат, крім послуг банку (розшифрувати)</t>
  </si>
  <si>
    <t>Собівартість послуг, без урахування послуг банку</t>
  </si>
  <si>
    <t>Розрахунковий прибуток, усього, у т.ч.:</t>
  </si>
  <si>
    <t>прибуток у тарифі на теплову енергію для потреб населення</t>
  </si>
  <si>
    <t>плановий прибуток на послугу, усього, у т.ч.:</t>
  </si>
  <si>
    <t xml:space="preserve"> 7.2.1</t>
  </si>
  <si>
    <t>чистий прибуток</t>
  </si>
  <si>
    <t xml:space="preserve"> 7.2.2</t>
  </si>
  <si>
    <t>податок на прибуток</t>
  </si>
  <si>
    <t>Послуги банку</t>
  </si>
  <si>
    <t>10.</t>
  </si>
  <si>
    <t>Вартість послуг</t>
  </si>
  <si>
    <t>11.</t>
  </si>
  <si>
    <t>12.</t>
  </si>
  <si>
    <t>Обсяг теплової енергії для розрахунку п. 1, Гкал</t>
  </si>
  <si>
    <t>13.</t>
  </si>
  <si>
    <t>повна планова собівартість теплової енергії для потреб  населення, грн/Гкал</t>
  </si>
  <si>
    <t>прибуток у тарифі на теплову енергію для потреб населення, грн/Гкал</t>
  </si>
  <si>
    <t>14.</t>
  </si>
  <si>
    <t xml:space="preserve">Кількість абонентів послуг </t>
  </si>
  <si>
    <t>абонентської служби</t>
  </si>
  <si>
    <t>решта, задіяних у наданні послуг</t>
  </si>
  <si>
    <t>Середньорічна кількість позаштатних працівників за договором, задіяних у наданні послуг,  у т.ч.:</t>
  </si>
  <si>
    <t>Середньомісячна заробітна плата, грн</t>
  </si>
  <si>
    <t>Відсоток послуг банка, %</t>
  </si>
  <si>
    <t>Інформаційно:</t>
  </si>
  <si>
    <t>Тривалість опалювального періоду, діб</t>
  </si>
  <si>
    <t>Діючий тариф на послугу з централізованого опалення протягом міжопалювального періоду, грн/м.кв на міс</t>
  </si>
  <si>
    <t>Діючий тариф на підігрів гарчої води (за наявності), грн/куб.м.</t>
  </si>
  <si>
    <t>з рушнико     сушками</t>
  </si>
  <si>
    <t>без рушнико  сушок</t>
  </si>
  <si>
    <t>Тариф на теплову енергію для потреб населення без ПДВ, грн/Гкал, у т. ч.:</t>
  </si>
  <si>
    <t>Обсяг використання споживачами населення гарчої води, тис. куб. м.</t>
  </si>
  <si>
    <t>Загальна опалювальна площа квартир, тис. кв. м.</t>
  </si>
  <si>
    <t xml:space="preserve"> 11.1</t>
  </si>
  <si>
    <t xml:space="preserve"> 11.2</t>
  </si>
  <si>
    <t>вартість теплової енергії</t>
  </si>
  <si>
    <t>Плановані тарифи на послуги, у т.ч. для послуги з централізованого опалення:</t>
  </si>
  <si>
    <t>Обсяг холодної води для підігріву, тис.куб. м.</t>
  </si>
  <si>
    <t>Допоміжна інформація</t>
  </si>
  <si>
    <t xml:space="preserve"> 6.1</t>
  </si>
  <si>
    <t xml:space="preserve"> 6.2</t>
  </si>
  <si>
    <t>Усьго на послугу з централізо  ваного  ГВП:</t>
  </si>
  <si>
    <t>Вартість 1 куб. м. холодної води без ПДВ, грн</t>
  </si>
  <si>
    <t>Врахована у діючих тарифах на послугу з централізованого опалення тривалість опалювального періоду, діб</t>
  </si>
  <si>
    <t>Обсяг використання споживачами населення гарчої води, системи гарячого водопостачання яких не обладнано рушинкосушками, та який був використаний при розрахунку економічно обгрунтованих тарифів на теплову енергію, куб.м. на рік</t>
  </si>
  <si>
    <t>Обсяг закупки холодної води для підігріву, куб. м. на рік у т.ч.:</t>
  </si>
  <si>
    <t>Нормативна кількість теплової енергії, необхідна для підігріву 1 куб.м. гарячої води Гкал/м.куб, у т.ч.:</t>
  </si>
  <si>
    <t xml:space="preserve">Собівартості власної теплової енергії, врахована у встановлених тарифах на теплову енергію для потреб населення </t>
  </si>
  <si>
    <t>решта складових тарифу</t>
  </si>
  <si>
    <t>Повна планова собівартість послуг з урахуванням послуг банку</t>
  </si>
  <si>
    <t>Середньорічна кількість штатних працівників, задіяних у наданні послуг, у т. ч.:</t>
  </si>
  <si>
    <t>З квартирними засобами обліку гарячої води (враховано у економічно-обгрунтованому тарифі на т/е)</t>
  </si>
  <si>
    <t>Без квартирних засобів обліку гарячої води (враховано у економічно-обгрунтованому тарифі на т/е)</t>
  </si>
  <si>
    <t>Обсяг використання споживачами населення гарчої води, системи гарячого водопостачання яких обладнано рушникосушками, та який був використаний при розрахунку економічно обгрунтованих тарифів на теплову енергію, куб.м. на рік</t>
  </si>
  <si>
    <t>для споживачів категорії населення, системи гарячого водопостачання яких обладнано рушникосушками</t>
  </si>
  <si>
    <t>для споживачів категорії населення, системи гарячого водопостачання яких не обладнано рушникосушками</t>
  </si>
  <si>
    <t xml:space="preserve"> 1.2</t>
  </si>
  <si>
    <t xml:space="preserve"> 1.3</t>
  </si>
  <si>
    <t>Кількість абонентів категорії споживачів населення, яким надається послуга з ГВП, у т.ч.:</t>
  </si>
  <si>
    <t>системи гарячого водопостачання яких обладнано рушникосушками</t>
  </si>
  <si>
    <t>системи гарячого водопостачання яких не обладнано рушникосушками</t>
  </si>
  <si>
    <t>Розрахунок структури собівартості та тарифів на послуги з централізованого опалення та ГВП для категорії споживачів населення</t>
  </si>
  <si>
    <t>Кількість теплової енергії, необхідна для підігріву обсягу води п. 7, усього, Гкал на рік, у т.ч.:</t>
  </si>
  <si>
    <t>15.</t>
  </si>
  <si>
    <t>16.</t>
  </si>
  <si>
    <t xml:space="preserve">  3.5.1</t>
  </si>
  <si>
    <t xml:space="preserve">  3.5.2</t>
  </si>
  <si>
    <t xml:space="preserve">  3.5.3</t>
  </si>
  <si>
    <t>Обсяг теплової енергії на потреби гарячого водопостачання населення, який враховано у розрахунку економічно обгрунтованих тарифів на т.е., Гкал</t>
  </si>
  <si>
    <t>сердня температура зовнішнього повітря опалювального періоду, град. С</t>
  </si>
  <si>
    <t>розрахункова температура для проектування системи опалення, град. С</t>
  </si>
  <si>
    <t>Загальна опалювальна площа житлових будинків, які було враховано при розрахунку економічно обгрунтованих тарифів на т.е. (без площі квартир з автономним опаленням), кв.м, усього, у т.ч.:</t>
  </si>
  <si>
    <t>Середня температура холодної води протягом міжопалювального періоду, град. С</t>
  </si>
  <si>
    <t>Середня температура холодної води протягом опалювального періоду, град. С</t>
  </si>
  <si>
    <t>Середня температура зовнішнього повітря опалювального періоду, град. С</t>
  </si>
  <si>
    <t>Врахована у діючих тарифах  на послугу з централізованого опалення середня температура зовнішнього повітря опалювального періоду, град. С</t>
  </si>
  <si>
    <t>Питомі норми, враховані у діючих тарифах на послуги з централізованого опалення та  гарячого водопостачання , Гкал/кв.м. на рік; Гкал/куб.м</t>
  </si>
  <si>
    <t>Питомі норми, враховані у планованих тарифах на послуги з централізованого опалення та гарячого водопостачання , Гкал/кв.м. на рік; Гкал/куб.м</t>
  </si>
  <si>
    <t>Планована кількість днів подачі послуги ГВП протягом опалювального періоду, діб</t>
  </si>
  <si>
    <t>Планована кількість днів подачі послуги ГВП протягом міжопалювального періоду, діб</t>
  </si>
  <si>
    <t>Планована кількість годин подачі послуги ГВП на добу протягом опалювального періоду, годин</t>
  </si>
  <si>
    <t>Планована кількість годин подачі послуги ГВП на добу протягом між опалювального періоду, годин</t>
  </si>
  <si>
    <t xml:space="preserve">теж </t>
  </si>
  <si>
    <t>на 1 кв. м.</t>
  </si>
  <si>
    <t>на 1 Гкал</t>
  </si>
  <si>
    <t>грн/Гкал</t>
  </si>
  <si>
    <t>Діючий тариф на послугу з централізованого опалення протягом опалювального періоду, грн/м.кв на міс; грн/Гкал</t>
  </si>
  <si>
    <t>Діючі тарифи на послуги, грн/м.кв на рік; грн/Гкал; грн/м.куб</t>
  </si>
  <si>
    <t>Додаток 4</t>
  </si>
  <si>
    <t>_________________№______</t>
  </si>
  <si>
    <t xml:space="preserve">Без ПДВ </t>
  </si>
  <si>
    <t xml:space="preserve">№ з/п </t>
  </si>
  <si>
    <t xml:space="preserve">Найменування показників </t>
  </si>
  <si>
    <t>Сумарні та середньозважені показники</t>
  </si>
  <si>
    <t>Для потреб населення</t>
  </si>
  <si>
    <t>Для  потреб бюджетних установ</t>
  </si>
  <si>
    <t xml:space="preserve">Для потреб інших споживачів </t>
  </si>
  <si>
    <t>Сумарні та середньо зважені показники</t>
  </si>
  <si>
    <t>Для  бюджетних установ</t>
  </si>
  <si>
    <t xml:space="preserve">Для інших споживачів </t>
  </si>
  <si>
    <t>Послуга для населення</t>
  </si>
  <si>
    <t>тис. грн на рік</t>
  </si>
  <si>
    <t>тис.грн на рік</t>
  </si>
  <si>
    <t xml:space="preserve">Виробнича собівартість, у т. ч.: </t>
  </si>
  <si>
    <t>1.1</t>
  </si>
  <si>
    <t>прямі матеріальні витрати</t>
  </si>
  <si>
    <t>1.2</t>
  </si>
  <si>
    <t>прямі витрати на оплату праці, ут.ч.:</t>
  </si>
  <si>
    <t xml:space="preserve"> 1.2.1</t>
  </si>
  <si>
    <t>персоналу абонслужби</t>
  </si>
  <si>
    <t xml:space="preserve"> 1.2.2</t>
  </si>
  <si>
    <t>решти персоналу, задіяних у наданні послуги, крім задіяного у повірці квартирних засобів обліку</t>
  </si>
  <si>
    <t>1.3</t>
  </si>
  <si>
    <t xml:space="preserve">інші прямі витрати, у т.ч.: </t>
  </si>
  <si>
    <t>1.3.1</t>
  </si>
  <si>
    <t>відрахування на соціальні заходи, у т.ч.:</t>
  </si>
  <si>
    <t xml:space="preserve"> 1.3.1.1</t>
  </si>
  <si>
    <t xml:space="preserve"> 1.3.1.2</t>
  </si>
  <si>
    <t>1.3.2</t>
  </si>
  <si>
    <t xml:space="preserve">амортизаційні відрахування </t>
  </si>
  <si>
    <t>1.3.3</t>
  </si>
  <si>
    <t xml:space="preserve">інші прямі витрати </t>
  </si>
  <si>
    <t>1.4</t>
  </si>
  <si>
    <t xml:space="preserve">загальновиробничі витрати, у т.ч.: </t>
  </si>
  <si>
    <t>1.4.1</t>
  </si>
  <si>
    <t>1.4.2</t>
  </si>
  <si>
    <t>1.4.3</t>
  </si>
  <si>
    <t xml:space="preserve">інші витрати </t>
  </si>
  <si>
    <t xml:space="preserve">Адміністративні витрати, у т.ч.: </t>
  </si>
  <si>
    <t>2.1</t>
  </si>
  <si>
    <t>2.2</t>
  </si>
  <si>
    <t>2.3</t>
  </si>
  <si>
    <t>Витрати на збут</t>
  </si>
  <si>
    <t>3.1</t>
  </si>
  <si>
    <t>3.2</t>
  </si>
  <si>
    <t>3.3</t>
  </si>
  <si>
    <t xml:space="preserve">Інші операційні витрати </t>
  </si>
  <si>
    <t xml:space="preserve">Фінансові витрати </t>
  </si>
  <si>
    <t>Повна собівартість, у тому числі:</t>
  </si>
  <si>
    <t>6.1</t>
  </si>
  <si>
    <t>витарити без зарплати і нарахувань персоналу абонслужби, з них:</t>
  </si>
  <si>
    <t>6.1.1</t>
  </si>
  <si>
    <t>інші витрати абонслужби</t>
  </si>
  <si>
    <t>6.1.2</t>
  </si>
  <si>
    <t>решта витрат без послуг банку</t>
  </si>
  <si>
    <t xml:space="preserve">Розрахунковий прибуток, у т.ч.: </t>
  </si>
  <si>
    <t>7.1</t>
  </si>
  <si>
    <t xml:space="preserve">податок на прибуток </t>
  </si>
  <si>
    <t>7.2</t>
  </si>
  <si>
    <t xml:space="preserve">дивіденди </t>
  </si>
  <si>
    <t>7.3</t>
  </si>
  <si>
    <t xml:space="preserve">на розвиток виробництва (виробничі інвестиції) </t>
  </si>
  <si>
    <t>7.4</t>
  </si>
  <si>
    <t xml:space="preserve">інше використання прибутку </t>
  </si>
  <si>
    <t xml:space="preserve">Вартість постачання теплової енергії за відповідними тарифами </t>
  </si>
  <si>
    <t xml:space="preserve">Тарифи на постачання теплової енергії, грн/Гкал </t>
  </si>
  <si>
    <t>т.е. з розрахунку послуги</t>
  </si>
  <si>
    <t>Обсяг реалізації теплової енергії власним споживачам, Гкал</t>
  </si>
  <si>
    <t>10.1</t>
  </si>
  <si>
    <t xml:space="preserve">населення </t>
  </si>
  <si>
    <t>бюджетних установ</t>
  </si>
  <si>
    <t>Обсяг теплової енергії, який виключено з обсягу т.е. врахованого у економічно-обгрунтованому тарифі, Гкал</t>
  </si>
  <si>
    <t>Обсяг теплової енергії, який включено до реєстру т.е. на послугу, Гкал</t>
  </si>
  <si>
    <t>Рівень рентабельності, %</t>
  </si>
  <si>
    <t>Кількість осіб</t>
  </si>
  <si>
    <t>Кількіст осіб абонслсужби</t>
  </si>
  <si>
    <t>Середня з.п. грн/міс</t>
  </si>
  <si>
    <t>Директор Департаменту тарифної політики
у сфері теплопостачання</t>
  </si>
  <si>
    <t>М.Расковський</t>
  </si>
  <si>
    <t xml:space="preserve">прямі витрати на оплату праці </t>
  </si>
  <si>
    <t xml:space="preserve">Повна собівартість </t>
  </si>
  <si>
    <t>10.2</t>
  </si>
  <si>
    <t>інших споживачів (крім населення)</t>
  </si>
  <si>
    <t>Член Комісії</t>
  </si>
  <si>
    <t>В.Кальченко</t>
  </si>
  <si>
    <t>Структура тарифів на постачання теплової енергії та витрат послуг з централізованого опалення та постачання гарячої води</t>
  </si>
  <si>
    <t>тис грн. на рік</t>
  </si>
  <si>
    <t>________________</t>
  </si>
  <si>
    <t>Дані, що враховано у тарифах на послуги з централізованого опалення та ГВП для категорії споживачів населення:</t>
  </si>
  <si>
    <t xml:space="preserve"> 10.1</t>
  </si>
  <si>
    <t xml:space="preserve"> 10.2</t>
  </si>
  <si>
    <t xml:space="preserve"> 10.3</t>
  </si>
  <si>
    <t>ОЗНАЙОМЛЕНИЙ:</t>
  </si>
  <si>
    <t>Структура тарифів на постачання теплової енергії</t>
  </si>
  <si>
    <t>Сумарні та середньо-зважені показники</t>
  </si>
  <si>
    <t>тис. грн 
на рік</t>
  </si>
  <si>
    <t xml:space="preserve">на розвиток виробництва 
(виробничі інвестиції) </t>
  </si>
  <si>
    <t>Економіст</t>
  </si>
  <si>
    <t>Коробка О.О.</t>
  </si>
  <si>
    <t>2-15-68</t>
  </si>
  <si>
    <t>Семенюк І.С.</t>
  </si>
  <si>
    <t>Нач. ВЗ</t>
  </si>
  <si>
    <t>Степанюк А.Л.</t>
  </si>
  <si>
    <t xml:space="preserve">_______________        </t>
  </si>
  <si>
    <t xml:space="preserve">   _____________ </t>
  </si>
  <si>
    <t>Нач.ВЗ</t>
  </si>
  <si>
    <t xml:space="preserve">________   </t>
  </si>
  <si>
    <t>Нач. ПЕВ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</si>
</sst>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#,##0.000"/>
    <numFmt numFmtId="182" formatCode="#,##0.0"/>
    <numFmt numFmtId="183" formatCode="0.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5"/>
      <name val="Arial"/>
      <family val="2"/>
    </font>
    <font>
      <sz val="15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4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.5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>
      <alignment/>
      <protection/>
    </xf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629"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6" fontId="26" fillId="0" borderId="12" xfId="0" applyNumberFormat="1" applyFont="1" applyBorder="1" applyAlignment="1">
      <alignment horizontal="center" vertical="center" wrapText="1"/>
    </xf>
    <xf numFmtId="16" fontId="26" fillId="0" borderId="13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 wrapText="1"/>
    </xf>
    <xf numFmtId="1" fontId="26" fillId="0" borderId="18" xfId="0" applyNumberFormat="1" applyFont="1" applyFill="1" applyBorder="1" applyAlignment="1">
      <alignment horizontal="center" vertical="center" wrapText="1"/>
    </xf>
    <xf numFmtId="16" fontId="26" fillId="0" borderId="19" xfId="0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49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49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49" fontId="0" fillId="0" borderId="30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0" fillId="0" borderId="32" xfId="0" applyNumberFormat="1" applyBorder="1" applyAlignment="1">
      <alignment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6" fillId="0" borderId="3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left" vertical="center" wrapText="1"/>
    </xf>
    <xf numFmtId="1" fontId="26" fillId="0" borderId="35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26" fillId="0" borderId="33" xfId="0" applyFont="1" applyBorder="1" applyAlignment="1">
      <alignment horizontal="left" vertical="center" wrapText="1"/>
    </xf>
    <xf numFmtId="1" fontId="26" fillId="0" borderId="33" xfId="0" applyNumberFormat="1" applyFont="1" applyBorder="1" applyAlignment="1">
      <alignment horizontal="center" vertical="center" wrapText="1"/>
    </xf>
    <xf numFmtId="1" fontId="26" fillId="0" borderId="35" xfId="0" applyNumberFormat="1" applyFont="1" applyFill="1" applyBorder="1" applyAlignment="1">
      <alignment horizontal="center" vertical="center" wrapText="1"/>
    </xf>
    <xf numFmtId="1" fontId="26" fillId="0" borderId="36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1" fontId="26" fillId="0" borderId="37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16" fontId="26" fillId="0" borderId="38" xfId="0" applyNumberFormat="1" applyFont="1" applyBorder="1" applyAlignment="1">
      <alignment horizontal="center" vertical="center" wrapText="1"/>
    </xf>
    <xf numFmtId="16" fontId="26" fillId="0" borderId="39" xfId="0" applyNumberFormat="1" applyFont="1" applyBorder="1" applyAlignment="1">
      <alignment horizontal="center" vertical="center" wrapText="1"/>
    </xf>
    <xf numFmtId="1" fontId="26" fillId="0" borderId="33" xfId="0" applyNumberFormat="1" applyFont="1" applyFill="1" applyBorder="1" applyAlignment="1">
      <alignment horizontal="center" vertical="center" wrapText="1"/>
    </xf>
    <xf numFmtId="1" fontId="26" fillId="0" borderId="40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1" fontId="26" fillId="0" borderId="24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left" vertical="center" wrapText="1"/>
    </xf>
    <xf numFmtId="1" fontId="28" fillId="0" borderId="22" xfId="0" applyNumberFormat="1" applyFont="1" applyFill="1" applyBorder="1" applyAlignment="1">
      <alignment horizontal="center" vertical="center" wrapText="1"/>
    </xf>
    <xf numFmtId="1" fontId="28" fillId="0" borderId="41" xfId="0" applyNumberFormat="1" applyFont="1" applyFill="1" applyBorder="1" applyAlignment="1">
      <alignment horizontal="center" vertical="center" wrapText="1"/>
    </xf>
    <xf numFmtId="1" fontId="26" fillId="0" borderId="25" xfId="0" applyNumberFormat="1" applyFont="1" applyFill="1" applyBorder="1" applyAlignment="1">
      <alignment horizontal="center" vertical="center" wrapText="1"/>
    </xf>
    <xf numFmtId="1" fontId="26" fillId="32" borderId="16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horizontal="right"/>
    </xf>
    <xf numFmtId="0" fontId="26" fillId="0" borderId="10" xfId="0" applyFont="1" applyBorder="1" applyAlignment="1">
      <alignment wrapText="1"/>
    </xf>
    <xf numFmtId="181" fontId="26" fillId="0" borderId="10" xfId="0" applyNumberFormat="1" applyFont="1" applyBorder="1" applyAlignment="1">
      <alignment/>
    </xf>
    <xf numFmtId="181" fontId="2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180" fontId="26" fillId="32" borderId="10" xfId="0" applyNumberFormat="1" applyFont="1" applyFill="1" applyBorder="1" applyAlignment="1">
      <alignment horizontal="right"/>
    </xf>
    <xf numFmtId="180" fontId="26" fillId="0" borderId="10" xfId="0" applyNumberFormat="1" applyFont="1" applyBorder="1" applyAlignment="1">
      <alignment horizontal="right"/>
    </xf>
    <xf numFmtId="181" fontId="26" fillId="0" borderId="10" xfId="0" applyNumberFormat="1" applyFont="1" applyBorder="1" applyAlignment="1">
      <alignment horizontal="center"/>
    </xf>
    <xf numFmtId="180" fontId="26" fillId="0" borderId="10" xfId="0" applyNumberFormat="1" applyFont="1" applyBorder="1" applyAlignment="1">
      <alignment horizontal="center"/>
    </xf>
    <xf numFmtId="180" fontId="26" fillId="32" borderId="10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180" fontId="26" fillId="0" borderId="10" xfId="0" applyNumberFormat="1" applyFont="1" applyBorder="1" applyAlignment="1">
      <alignment/>
    </xf>
    <xf numFmtId="2" fontId="26" fillId="0" borderId="10" xfId="0" applyNumberFormat="1" applyFont="1" applyBorder="1" applyAlignment="1">
      <alignment/>
    </xf>
    <xf numFmtId="180" fontId="26" fillId="32" borderId="10" xfId="0" applyNumberFormat="1" applyFont="1" applyFill="1" applyBorder="1" applyAlignment="1">
      <alignment/>
    </xf>
    <xf numFmtId="2" fontId="26" fillId="32" borderId="10" xfId="0" applyNumberFormat="1" applyFont="1" applyFill="1" applyBorder="1" applyAlignment="1">
      <alignment horizontal="right"/>
    </xf>
    <xf numFmtId="181" fontId="26" fillId="32" borderId="10" xfId="0" applyNumberFormat="1" applyFont="1" applyFill="1" applyBorder="1" applyAlignment="1">
      <alignment/>
    </xf>
    <xf numFmtId="181" fontId="26" fillId="32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horizontal="center"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1" fontId="26" fillId="0" borderId="10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0" fontId="26" fillId="32" borderId="10" xfId="0" applyFont="1" applyFill="1" applyBorder="1" applyAlignment="1">
      <alignment wrapText="1"/>
    </xf>
    <xf numFmtId="0" fontId="26" fillId="32" borderId="0" xfId="0" applyFont="1" applyFill="1" applyAlignment="1">
      <alignment/>
    </xf>
    <xf numFmtId="0" fontId="26" fillId="0" borderId="10" xfId="0" applyFont="1" applyBorder="1" applyAlignment="1">
      <alignment horizontal="left" wrapText="1"/>
    </xf>
    <xf numFmtId="0" fontId="26" fillId="0" borderId="0" xfId="0" applyFont="1" applyAlignment="1">
      <alignment horizontal="right"/>
    </xf>
    <xf numFmtId="182" fontId="26" fillId="32" borderId="10" xfId="0" applyNumberFormat="1" applyFont="1" applyFill="1" applyBorder="1" applyAlignment="1">
      <alignment/>
    </xf>
    <xf numFmtId="182" fontId="26" fillId="32" borderId="10" xfId="0" applyNumberFormat="1" applyFont="1" applyFill="1" applyBorder="1" applyAlignment="1">
      <alignment horizontal="center"/>
    </xf>
    <xf numFmtId="2" fontId="26" fillId="32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26" fillId="0" borderId="12" xfId="0" applyFont="1" applyBorder="1" applyAlignment="1">
      <alignment horizontal="right"/>
    </xf>
    <xf numFmtId="0" fontId="26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horizontal="center"/>
    </xf>
    <xf numFmtId="16" fontId="26" fillId="0" borderId="12" xfId="0" applyNumberFormat="1" applyFont="1" applyBorder="1" applyAlignment="1">
      <alignment horizontal="right"/>
    </xf>
    <xf numFmtId="3" fontId="26" fillId="0" borderId="16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0" fontId="26" fillId="32" borderId="12" xfId="0" applyFont="1" applyFill="1" applyBorder="1" applyAlignment="1">
      <alignment horizontal="right"/>
    </xf>
    <xf numFmtId="182" fontId="26" fillId="32" borderId="16" xfId="0" applyNumberFormat="1" applyFont="1" applyFill="1" applyBorder="1" applyAlignment="1">
      <alignment horizontal="center"/>
    </xf>
    <xf numFmtId="180" fontId="26" fillId="32" borderId="16" xfId="0" applyNumberFormat="1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5" xfId="0" applyFont="1" applyBorder="1" applyAlignment="1">
      <alignment horizontal="right"/>
    </xf>
    <xf numFmtId="0" fontId="26" fillId="0" borderId="11" xfId="0" applyFont="1" applyBorder="1" applyAlignment="1">
      <alignment wrapText="1"/>
    </xf>
    <xf numFmtId="181" fontId="26" fillId="0" borderId="11" xfId="0" applyNumberFormat="1" applyFont="1" applyBorder="1" applyAlignment="1">
      <alignment/>
    </xf>
    <xf numFmtId="181" fontId="26" fillId="0" borderId="11" xfId="0" applyNumberFormat="1" applyFont="1" applyBorder="1" applyAlignment="1">
      <alignment horizontal="right"/>
    </xf>
    <xf numFmtId="2" fontId="26" fillId="0" borderId="11" xfId="0" applyNumberFormat="1" applyFont="1" applyBorder="1" applyAlignment="1">
      <alignment horizontal="right"/>
    </xf>
    <xf numFmtId="180" fontId="26" fillId="32" borderId="11" xfId="0" applyNumberFormat="1" applyFont="1" applyFill="1" applyBorder="1" applyAlignment="1">
      <alignment horizontal="right"/>
    </xf>
    <xf numFmtId="180" fontId="26" fillId="0" borderId="11" xfId="0" applyNumberFormat="1" applyFont="1" applyBorder="1" applyAlignment="1">
      <alignment horizontal="right"/>
    </xf>
    <xf numFmtId="2" fontId="26" fillId="0" borderId="25" xfId="0" applyNumberFormat="1" applyFont="1" applyBorder="1" applyAlignment="1">
      <alignment horizontal="right"/>
    </xf>
    <xf numFmtId="2" fontId="26" fillId="0" borderId="16" xfId="0" applyNumberFormat="1" applyFont="1" applyBorder="1" applyAlignment="1">
      <alignment horizontal="right"/>
    </xf>
    <xf numFmtId="2" fontId="26" fillId="0" borderId="16" xfId="0" applyNumberFormat="1" applyFont="1" applyBorder="1" applyAlignment="1">
      <alignment/>
    </xf>
    <xf numFmtId="0" fontId="26" fillId="0" borderId="14" xfId="0" applyFont="1" applyBorder="1" applyAlignment="1">
      <alignment wrapText="1"/>
    </xf>
    <xf numFmtId="0" fontId="26" fillId="0" borderId="42" xfId="0" applyFont="1" applyBorder="1" applyAlignment="1">
      <alignment horizontal="center" vertical="center" wrapText="1"/>
    </xf>
    <xf numFmtId="1" fontId="26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16" xfId="0" applyNumberFormat="1" applyFont="1" applyFill="1" applyBorder="1" applyAlignment="1" applyProtection="1">
      <alignment horizontal="center" vertical="center" wrapText="1"/>
      <protection locked="0"/>
    </xf>
    <xf numFmtId="181" fontId="26" fillId="0" borderId="10" xfId="0" applyNumberFormat="1" applyFont="1" applyBorder="1" applyAlignment="1">
      <alignment/>
    </xf>
    <xf numFmtId="2" fontId="26" fillId="0" borderId="10" xfId="0" applyNumberFormat="1" applyFont="1" applyBorder="1" applyAlignment="1">
      <alignment/>
    </xf>
    <xf numFmtId="181" fontId="26" fillId="0" borderId="14" xfId="0" applyNumberFormat="1" applyFont="1" applyBorder="1" applyAlignment="1">
      <alignment/>
    </xf>
    <xf numFmtId="2" fontId="26" fillId="0" borderId="14" xfId="0" applyNumberFormat="1" applyFont="1" applyBorder="1" applyAlignment="1">
      <alignment/>
    </xf>
    <xf numFmtId="180" fontId="26" fillId="2" borderId="10" xfId="0" applyNumberFormat="1" applyFont="1" applyFill="1" applyBorder="1" applyAlignment="1" applyProtection="1">
      <alignment horizontal="right"/>
      <protection locked="0"/>
    </xf>
    <xf numFmtId="1" fontId="26" fillId="33" borderId="10" xfId="0" applyNumberFormat="1" applyFont="1" applyFill="1" applyBorder="1" applyAlignment="1" applyProtection="1">
      <alignment/>
      <protection locked="0"/>
    </xf>
    <xf numFmtId="1" fontId="26" fillId="2" borderId="10" xfId="0" applyNumberFormat="1" applyFont="1" applyFill="1" applyBorder="1" applyAlignment="1" applyProtection="1">
      <alignment/>
      <protection locked="0"/>
    </xf>
    <xf numFmtId="2" fontId="26" fillId="2" borderId="10" xfId="0" applyNumberFormat="1" applyFont="1" applyFill="1" applyBorder="1" applyAlignment="1" applyProtection="1">
      <alignment horizontal="center"/>
      <protection locked="0"/>
    </xf>
    <xf numFmtId="2" fontId="26" fillId="2" borderId="16" xfId="0" applyNumberFormat="1" applyFont="1" applyFill="1" applyBorder="1" applyAlignment="1" applyProtection="1">
      <alignment horizontal="center"/>
      <protection locked="0"/>
    </xf>
    <xf numFmtId="2" fontId="26" fillId="2" borderId="14" xfId="0" applyNumberFormat="1" applyFont="1" applyFill="1" applyBorder="1" applyAlignment="1" applyProtection="1">
      <alignment horizontal="center"/>
      <protection locked="0"/>
    </xf>
    <xf numFmtId="2" fontId="26" fillId="2" borderId="18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right"/>
      <protection locked="0"/>
    </xf>
    <xf numFmtId="0" fontId="26" fillId="0" borderId="0" xfId="0" applyFont="1" applyAlignment="1" applyProtection="1">
      <alignment wrapText="1"/>
      <protection locked="0"/>
    </xf>
    <xf numFmtId="0" fontId="26" fillId="0" borderId="0" xfId="0" applyFont="1" applyAlignment="1" applyProtection="1">
      <alignment/>
      <protection locked="0"/>
    </xf>
    <xf numFmtId="1" fontId="26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Fill="1" applyBorder="1" applyAlignment="1" applyProtection="1">
      <alignment/>
      <protection/>
    </xf>
    <xf numFmtId="180" fontId="26" fillId="0" borderId="10" xfId="0" applyNumberFormat="1" applyFont="1" applyFill="1" applyBorder="1" applyAlignment="1">
      <alignment/>
    </xf>
    <xf numFmtId="1" fontId="26" fillId="0" borderId="10" xfId="0" applyNumberFormat="1" applyFont="1" applyFill="1" applyBorder="1" applyAlignment="1">
      <alignment horizontal="right"/>
    </xf>
    <xf numFmtId="1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>
      <alignment horizontal="left" vertical="center" wrapText="1"/>
    </xf>
    <xf numFmtId="1" fontId="26" fillId="0" borderId="17" xfId="0" applyNumberFormat="1" applyFont="1" applyBorder="1" applyAlignment="1">
      <alignment horizontal="center" vertical="center" wrapText="1"/>
    </xf>
    <xf numFmtId="1" fontId="26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43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1" fontId="26" fillId="32" borderId="34" xfId="0" applyNumberFormat="1" applyFont="1" applyFill="1" applyBorder="1" applyAlignment="1">
      <alignment horizontal="center" vertical="center" wrapText="1"/>
    </xf>
    <xf numFmtId="0" fontId="26" fillId="0" borderId="38" xfId="0" applyNumberFormat="1" applyFont="1" applyBorder="1" applyAlignment="1">
      <alignment horizontal="center" vertical="center" wrapText="1"/>
    </xf>
    <xf numFmtId="1" fontId="26" fillId="2" borderId="35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37" xfId="0" applyNumberFormat="1" applyFont="1" applyFill="1" applyBorder="1" applyAlignment="1" applyProtection="1">
      <alignment horizontal="center" vertical="center" wrapText="1"/>
      <protection locked="0"/>
    </xf>
    <xf numFmtId="3" fontId="26" fillId="0" borderId="10" xfId="0" applyNumberFormat="1" applyFont="1" applyBorder="1" applyAlignment="1">
      <alignment horizontal="center" vertical="center" wrapText="1"/>
    </xf>
    <xf numFmtId="3" fontId="26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26" fillId="0" borderId="11" xfId="0" applyNumberFormat="1" applyFont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3" fontId="26" fillId="0" borderId="25" xfId="0" applyNumberFormat="1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vertical="center" wrapText="1"/>
    </xf>
    <xf numFmtId="181" fontId="26" fillId="0" borderId="11" xfId="0" applyNumberFormat="1" applyFont="1" applyBorder="1" applyAlignment="1">
      <alignment horizontal="center" vertical="center" wrapText="1"/>
    </xf>
    <xf numFmtId="181" fontId="26" fillId="0" borderId="25" xfId="0" applyNumberFormat="1" applyFont="1" applyBorder="1" applyAlignment="1">
      <alignment horizontal="center" vertical="center" wrapText="1"/>
    </xf>
    <xf numFmtId="181" fontId="26" fillId="0" borderId="10" xfId="0" applyNumberFormat="1" applyFont="1" applyBorder="1" applyAlignment="1">
      <alignment horizontal="center" vertical="center" wrapText="1"/>
    </xf>
    <xf numFmtId="181" fontId="26" fillId="2" borderId="16" xfId="0" applyNumberFormat="1" applyFont="1" applyFill="1" applyBorder="1" applyAlignment="1" applyProtection="1">
      <alignment horizontal="center" vertical="center" wrapText="1"/>
      <protection locked="0"/>
    </xf>
    <xf numFmtId="181" fontId="26" fillId="0" borderId="14" xfId="0" applyNumberFormat="1" applyFont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center" vertical="center" wrapText="1"/>
    </xf>
    <xf numFmtId="3" fontId="26" fillId="0" borderId="18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Border="1" applyAlignment="1">
      <alignment horizontal="center" vertical="center" wrapText="1"/>
    </xf>
    <xf numFmtId="3" fontId="26" fillId="32" borderId="22" xfId="0" applyNumberFormat="1" applyFont="1" applyFill="1" applyBorder="1" applyAlignment="1">
      <alignment horizontal="center" vertical="center" wrapText="1"/>
    </xf>
    <xf numFmtId="3" fontId="26" fillId="32" borderId="41" xfId="0" applyNumberFormat="1" applyFont="1" applyFill="1" applyBorder="1" applyAlignment="1">
      <alignment horizontal="center" vertical="center" wrapText="1"/>
    </xf>
    <xf numFmtId="3" fontId="26" fillId="32" borderId="10" xfId="0" applyNumberFormat="1" applyFont="1" applyFill="1" applyBorder="1" applyAlignment="1">
      <alignment horizontal="center" vertical="center" wrapText="1"/>
    </xf>
    <xf numFmtId="3" fontId="26" fillId="32" borderId="16" xfId="0" applyNumberFormat="1" applyFont="1" applyFill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 vertical="center" wrapText="1"/>
    </xf>
    <xf numFmtId="3" fontId="26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6" fillId="32" borderId="20" xfId="0" applyNumberFormat="1" applyFont="1" applyFill="1" applyBorder="1" applyAlignment="1">
      <alignment horizontal="center" vertical="center" wrapText="1"/>
    </xf>
    <xf numFmtId="181" fontId="26" fillId="0" borderId="16" xfId="0" applyNumberFormat="1" applyFont="1" applyBorder="1" applyAlignment="1">
      <alignment horizontal="center" vertical="center" wrapText="1"/>
    </xf>
    <xf numFmtId="181" fontId="26" fillId="0" borderId="20" xfId="0" applyNumberFormat="1" applyFont="1" applyBorder="1" applyAlignment="1">
      <alignment horizontal="center" vertical="center" wrapText="1"/>
    </xf>
    <xf numFmtId="181" fontId="26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6" fillId="0" borderId="16" xfId="0" applyNumberFormat="1" applyFont="1" applyFill="1" applyBorder="1" applyAlignment="1">
      <alignment horizontal="center" vertical="center" wrapText="1"/>
    </xf>
    <xf numFmtId="181" fontId="26" fillId="0" borderId="16" xfId="0" applyNumberFormat="1" applyFont="1" applyFill="1" applyBorder="1" applyAlignment="1">
      <alignment horizontal="center" vertical="center" wrapText="1"/>
    </xf>
    <xf numFmtId="181" fontId="26" fillId="0" borderId="18" xfId="0" applyNumberFormat="1" applyFont="1" applyBorder="1" applyAlignment="1">
      <alignment horizontal="center" vertical="center" wrapText="1"/>
    </xf>
    <xf numFmtId="4" fontId="26" fillId="2" borderId="10" xfId="0" applyNumberFormat="1" applyFont="1" applyFill="1" applyBorder="1" applyAlignment="1" applyProtection="1">
      <alignment horizontal="right"/>
      <protection locked="0"/>
    </xf>
    <xf numFmtId="0" fontId="26" fillId="2" borderId="10" xfId="0" applyFont="1" applyFill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 vertical="center" wrapText="1"/>
      <protection/>
    </xf>
    <xf numFmtId="2" fontId="26" fillId="0" borderId="22" xfId="0" applyNumberFormat="1" applyFont="1" applyBorder="1" applyAlignment="1">
      <alignment horizontal="right"/>
    </xf>
    <xf numFmtId="4" fontId="26" fillId="32" borderId="10" xfId="0" applyNumberFormat="1" applyFont="1" applyFill="1" applyBorder="1" applyAlignment="1">
      <alignment horizontal="center"/>
    </xf>
    <xf numFmtId="2" fontId="26" fillId="0" borderId="25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" fontId="26" fillId="0" borderId="44" xfId="0" applyNumberFormat="1" applyFont="1" applyBorder="1" applyAlignment="1">
      <alignment horizontal="center" vertical="center" wrapText="1"/>
    </xf>
    <xf numFmtId="180" fontId="26" fillId="0" borderId="0" xfId="0" applyNumberFormat="1" applyFont="1" applyAlignment="1">
      <alignment horizontal="center" vertical="center" wrapText="1"/>
    </xf>
    <xf numFmtId="2" fontId="26" fillId="0" borderId="0" xfId="0" applyNumberFormat="1" applyFont="1" applyAlignment="1">
      <alignment/>
    </xf>
    <xf numFmtId="2" fontId="26" fillId="0" borderId="0" xfId="0" applyNumberFormat="1" applyFont="1" applyAlignment="1">
      <alignment horizontal="center" vertical="center" wrapText="1"/>
    </xf>
    <xf numFmtId="180" fontId="26" fillId="2" borderId="10" xfId="0" applyNumberFormat="1" applyFont="1" applyFill="1" applyBorder="1" applyAlignment="1" applyProtection="1">
      <alignment horizontal="center"/>
      <protection locked="0"/>
    </xf>
    <xf numFmtId="2" fontId="26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>
      <alignment horizontal="left" wrapText="1"/>
    </xf>
    <xf numFmtId="0" fontId="3" fillId="0" borderId="0" xfId="48" applyFill="1">
      <alignment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vertical="center"/>
      <protection/>
    </xf>
    <xf numFmtId="0" fontId="6" fillId="0" borderId="0" xfId="48" applyFont="1" applyFill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vertical="center"/>
      <protection/>
    </xf>
    <xf numFmtId="0" fontId="8" fillId="0" borderId="0" xfId="48" applyFont="1" applyFill="1" applyAlignment="1">
      <alignment horizontal="right" vertical="center" wrapText="1"/>
      <protection/>
    </xf>
    <xf numFmtId="0" fontId="3" fillId="0" borderId="0" xfId="48" applyFill="1" applyAlignment="1">
      <alignment wrapText="1"/>
      <protection/>
    </xf>
    <xf numFmtId="0" fontId="8" fillId="0" borderId="0" xfId="48" applyFont="1" applyFill="1" applyBorder="1" applyAlignment="1">
      <alignment horizontal="right" vertical="center" wrapText="1"/>
      <protection/>
    </xf>
    <xf numFmtId="0" fontId="8" fillId="0" borderId="0" xfId="48" applyFont="1" applyFill="1" applyBorder="1" applyAlignment="1">
      <alignment vertical="center" wrapText="1"/>
      <protection/>
    </xf>
    <xf numFmtId="0" fontId="9" fillId="0" borderId="0" xfId="48" applyFont="1" applyFill="1" applyAlignment="1">
      <alignment horizontal="left"/>
      <protection/>
    </xf>
    <xf numFmtId="0" fontId="9" fillId="0" borderId="0" xfId="48" applyFont="1" applyFill="1">
      <alignment/>
      <protection/>
    </xf>
    <xf numFmtId="0" fontId="12" fillId="0" borderId="45" xfId="48" applyFont="1" applyFill="1" applyBorder="1" applyAlignment="1">
      <alignment horizontal="center"/>
      <protection/>
    </xf>
    <xf numFmtId="0" fontId="13" fillId="0" borderId="45" xfId="48" applyFont="1" applyFill="1" applyBorder="1" applyAlignment="1">
      <alignment horizontal="right" vertical="center"/>
      <protection/>
    </xf>
    <xf numFmtId="0" fontId="13" fillId="0" borderId="0" xfId="48" applyFont="1" applyFill="1" applyAlignment="1">
      <alignment horizontal="right"/>
      <protection/>
    </xf>
    <xf numFmtId="0" fontId="13" fillId="0" borderId="45" xfId="48" applyFont="1" applyFill="1" applyBorder="1" applyAlignment="1">
      <alignment vertical="center"/>
      <protection/>
    </xf>
    <xf numFmtId="0" fontId="12" fillId="0" borderId="10" xfId="48" applyFont="1" applyFill="1" applyBorder="1" applyAlignment="1">
      <alignment horizontal="center" vertical="center" wrapText="1"/>
      <protection/>
    </xf>
    <xf numFmtId="0" fontId="12" fillId="0" borderId="0" xfId="48" applyFont="1" applyFill="1" applyBorder="1" applyAlignment="1">
      <alignment vertical="center" wrapText="1"/>
      <protection/>
    </xf>
    <xf numFmtId="0" fontId="15" fillId="0" borderId="10" xfId="48" applyFont="1" applyFill="1" applyBorder="1" applyAlignment="1">
      <alignment horizontal="center" vertical="center" wrapText="1"/>
      <protection/>
    </xf>
    <xf numFmtId="0" fontId="16" fillId="0" borderId="10" xfId="48" applyFont="1" applyFill="1" applyBorder="1" applyAlignment="1">
      <alignment horizontal="center" vertical="center" wrapText="1"/>
      <protection/>
    </xf>
    <xf numFmtId="0" fontId="16" fillId="0" borderId="33" xfId="48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center" wrapText="1"/>
      <protection/>
    </xf>
    <xf numFmtId="0" fontId="17" fillId="0" borderId="10" xfId="48" applyFont="1" applyFill="1" applyBorder="1" applyAlignment="1">
      <alignment horizontal="center" wrapText="1"/>
      <protection/>
    </xf>
    <xf numFmtId="0" fontId="18" fillId="0" borderId="10" xfId="48" applyFont="1" applyFill="1" applyBorder="1" applyAlignment="1">
      <alignment horizontal="center"/>
      <protection/>
    </xf>
    <xf numFmtId="0" fontId="18" fillId="0" borderId="46" xfId="48" applyFont="1" applyFill="1" applyBorder="1" applyAlignment="1">
      <alignment horizontal="center"/>
      <protection/>
    </xf>
    <xf numFmtId="0" fontId="18" fillId="0" borderId="0" xfId="48" applyFont="1" applyFill="1">
      <alignment/>
      <protection/>
    </xf>
    <xf numFmtId="0" fontId="13" fillId="0" borderId="10" xfId="48" applyFont="1" applyFill="1" applyBorder="1" applyAlignment="1">
      <alignment horizontal="center" wrapText="1"/>
      <protection/>
    </xf>
    <xf numFmtId="0" fontId="13" fillId="0" borderId="10" xfId="48" applyFont="1" applyFill="1" applyBorder="1" applyAlignment="1">
      <alignment wrapText="1"/>
      <protection/>
    </xf>
    <xf numFmtId="2" fontId="13" fillId="0" borderId="10" xfId="48" applyNumberFormat="1" applyFont="1" applyFill="1" applyBorder="1" applyAlignment="1">
      <alignment horizontal="center" vertical="center" wrapText="1"/>
      <protection/>
    </xf>
    <xf numFmtId="2" fontId="13" fillId="0" borderId="10" xfId="48" applyNumberFormat="1" applyFont="1" applyFill="1" applyBorder="1" applyAlignment="1">
      <alignment horizontal="center" vertical="center"/>
      <protection/>
    </xf>
    <xf numFmtId="2" fontId="12" fillId="0" borderId="10" xfId="48" applyNumberFormat="1" applyFont="1" applyFill="1" applyBorder="1" applyAlignment="1">
      <alignment horizontal="center" vertical="center" wrapText="1"/>
      <protection/>
    </xf>
    <xf numFmtId="2" fontId="19" fillId="0" borderId="10" xfId="48" applyNumberFormat="1" applyFont="1" applyFill="1" applyBorder="1" applyAlignment="1">
      <alignment horizontal="center" vertical="center"/>
      <protection/>
    </xf>
    <xf numFmtId="181" fontId="19" fillId="0" borderId="10" xfId="48" applyNumberFormat="1" applyFont="1" applyFill="1" applyBorder="1" applyAlignment="1">
      <alignment horizontal="center" vertical="center" wrapText="1"/>
      <protection/>
    </xf>
    <xf numFmtId="4" fontId="19" fillId="0" borderId="10" xfId="48" applyNumberFormat="1" applyFont="1" applyFill="1" applyBorder="1" applyAlignment="1">
      <alignment horizontal="center" vertical="center"/>
      <protection/>
    </xf>
    <xf numFmtId="181" fontId="19" fillId="0" borderId="10" xfId="48" applyNumberFormat="1" applyFont="1" applyFill="1" applyBorder="1" applyAlignment="1">
      <alignment horizontal="center" vertical="center"/>
      <protection/>
    </xf>
    <xf numFmtId="4" fontId="19" fillId="0" borderId="46" xfId="48" applyNumberFormat="1" applyFont="1" applyFill="1" applyBorder="1" applyAlignment="1">
      <alignment horizontal="center" vertical="center"/>
      <protection/>
    </xf>
    <xf numFmtId="0" fontId="11" fillId="0" borderId="0" xfId="48" applyFont="1" applyFill="1">
      <alignment/>
      <protection/>
    </xf>
    <xf numFmtId="2" fontId="15" fillId="0" borderId="10" xfId="48" applyNumberFormat="1" applyFont="1" applyFill="1" applyBorder="1" applyAlignment="1">
      <alignment horizontal="center" vertical="center" wrapText="1"/>
      <protection/>
    </xf>
    <xf numFmtId="2" fontId="12" fillId="2" borderId="10" xfId="48" applyNumberFormat="1" applyFont="1" applyFill="1" applyBorder="1" applyAlignment="1">
      <alignment horizontal="center" vertical="center" wrapText="1"/>
      <protection/>
    </xf>
    <xf numFmtId="2" fontId="12" fillId="0" borderId="10" xfId="48" applyNumberFormat="1" applyFont="1" applyFill="1" applyBorder="1" applyAlignment="1">
      <alignment horizontal="center" vertical="center"/>
      <protection/>
    </xf>
    <xf numFmtId="0" fontId="13" fillId="34" borderId="10" xfId="48" applyFont="1" applyFill="1" applyBorder="1" applyAlignment="1">
      <alignment horizontal="center" wrapText="1"/>
      <protection/>
    </xf>
    <xf numFmtId="0" fontId="13" fillId="34" borderId="10" xfId="48" applyFont="1" applyFill="1" applyBorder="1" applyAlignment="1">
      <alignment wrapText="1"/>
      <protection/>
    </xf>
    <xf numFmtId="2" fontId="13" fillId="34" borderId="10" xfId="48" applyNumberFormat="1" applyFont="1" applyFill="1" applyBorder="1" applyAlignment="1">
      <alignment horizontal="center" vertical="center" wrapText="1"/>
      <protection/>
    </xf>
    <xf numFmtId="2" fontId="13" fillId="34" borderId="10" xfId="48" applyNumberFormat="1" applyFont="1" applyFill="1" applyBorder="1" applyAlignment="1">
      <alignment horizontal="center" vertical="center"/>
      <protection/>
    </xf>
    <xf numFmtId="2" fontId="11" fillId="34" borderId="10" xfId="48" applyNumberFormat="1" applyFont="1" applyFill="1" applyBorder="1" applyAlignment="1">
      <alignment horizontal="center"/>
      <protection/>
    </xf>
    <xf numFmtId="2" fontId="19" fillId="34" borderId="10" xfId="48" applyNumberFormat="1" applyFont="1" applyFill="1" applyBorder="1" applyAlignment="1">
      <alignment horizontal="center" vertical="center"/>
      <protection/>
    </xf>
    <xf numFmtId="181" fontId="19" fillId="34" borderId="10" xfId="48" applyNumberFormat="1" applyFont="1" applyFill="1" applyBorder="1" applyAlignment="1">
      <alignment horizontal="center" vertical="center" wrapText="1"/>
      <protection/>
    </xf>
    <xf numFmtId="4" fontId="19" fillId="34" borderId="10" xfId="48" applyNumberFormat="1" applyFont="1" applyFill="1" applyBorder="1" applyAlignment="1">
      <alignment horizontal="center" vertical="center"/>
      <protection/>
    </xf>
    <xf numFmtId="181" fontId="19" fillId="34" borderId="10" xfId="48" applyNumberFormat="1" applyFont="1" applyFill="1" applyBorder="1" applyAlignment="1">
      <alignment horizontal="center" vertical="center"/>
      <protection/>
    </xf>
    <xf numFmtId="4" fontId="19" fillId="34" borderId="46" xfId="48" applyNumberFormat="1" applyFont="1" applyFill="1" applyBorder="1" applyAlignment="1">
      <alignment horizontal="center" vertical="center"/>
      <protection/>
    </xf>
    <xf numFmtId="2" fontId="12" fillId="34" borderId="10" xfId="48" applyNumberFormat="1" applyFont="1" applyFill="1" applyBorder="1" applyAlignment="1">
      <alignment horizontal="center" vertical="center"/>
      <protection/>
    </xf>
    <xf numFmtId="49" fontId="4" fillId="0" borderId="10" xfId="48" applyNumberFormat="1" applyFont="1" applyFill="1" applyBorder="1" applyAlignment="1">
      <alignment horizontal="center" wrapText="1"/>
      <protection/>
    </xf>
    <xf numFmtId="0" fontId="4" fillId="0" borderId="10" xfId="48" applyFont="1" applyFill="1" applyBorder="1" applyAlignment="1">
      <alignment wrapText="1"/>
      <protection/>
    </xf>
    <xf numFmtId="2" fontId="4" fillId="0" borderId="10" xfId="48" applyNumberFormat="1" applyFont="1" applyFill="1" applyBorder="1" applyAlignment="1">
      <alignment horizontal="center" vertical="center" wrapText="1"/>
      <protection/>
    </xf>
    <xf numFmtId="2" fontId="4" fillId="0" borderId="10" xfId="48" applyNumberFormat="1" applyFont="1" applyFill="1" applyBorder="1" applyAlignment="1">
      <alignment horizontal="center" vertical="center"/>
      <protection/>
    </xf>
    <xf numFmtId="2" fontId="16" fillId="0" borderId="10" xfId="48" applyNumberFormat="1" applyFont="1" applyFill="1" applyBorder="1" applyAlignment="1">
      <alignment horizontal="center" vertical="center"/>
      <protection/>
    </xf>
    <xf numFmtId="181" fontId="16" fillId="0" borderId="10" xfId="48" applyNumberFormat="1" applyFont="1" applyFill="1" applyBorder="1" applyAlignment="1">
      <alignment horizontal="center" vertical="center" wrapText="1"/>
      <protection/>
    </xf>
    <xf numFmtId="4" fontId="16" fillId="0" borderId="10" xfId="48" applyNumberFormat="1" applyFont="1" applyFill="1" applyBorder="1" applyAlignment="1">
      <alignment horizontal="center" vertical="center"/>
      <protection/>
    </xf>
    <xf numFmtId="181" fontId="16" fillId="0" borderId="10" xfId="48" applyNumberFormat="1" applyFont="1" applyFill="1" applyBorder="1" applyAlignment="1">
      <alignment horizontal="center" vertical="center"/>
      <protection/>
    </xf>
    <xf numFmtId="4" fontId="16" fillId="0" borderId="46" xfId="48" applyNumberFormat="1" applyFont="1" applyFill="1" applyBorder="1" applyAlignment="1">
      <alignment horizontal="center" vertical="center"/>
      <protection/>
    </xf>
    <xf numFmtId="0" fontId="3" fillId="0" borderId="0" xfId="48" applyFont="1" applyFill="1">
      <alignment/>
      <protection/>
    </xf>
    <xf numFmtId="49" fontId="4" fillId="34" borderId="10" xfId="48" applyNumberFormat="1" applyFont="1" applyFill="1" applyBorder="1" applyAlignment="1">
      <alignment horizontal="center" wrapText="1"/>
      <protection/>
    </xf>
    <xf numFmtId="0" fontId="4" fillId="34" borderId="10" xfId="48" applyFont="1" applyFill="1" applyBorder="1" applyAlignment="1">
      <alignment wrapText="1"/>
      <protection/>
    </xf>
    <xf numFmtId="2" fontId="4" fillId="34" borderId="10" xfId="48" applyNumberFormat="1" applyFont="1" applyFill="1" applyBorder="1" applyAlignment="1">
      <alignment horizontal="center" vertical="center" wrapText="1"/>
      <protection/>
    </xf>
    <xf numFmtId="2" fontId="4" fillId="34" borderId="10" xfId="48" applyNumberFormat="1" applyFont="1" applyFill="1" applyBorder="1" applyAlignment="1">
      <alignment horizontal="center" vertical="center"/>
      <protection/>
    </xf>
    <xf numFmtId="2" fontId="16" fillId="34" borderId="10" xfId="48" applyNumberFormat="1" applyFont="1" applyFill="1" applyBorder="1" applyAlignment="1">
      <alignment horizontal="center" vertical="center"/>
      <protection/>
    </xf>
    <xf numFmtId="181" fontId="16" fillId="34" borderId="10" xfId="48" applyNumberFormat="1" applyFont="1" applyFill="1" applyBorder="1" applyAlignment="1">
      <alignment horizontal="center" vertical="center" wrapText="1"/>
      <protection/>
    </xf>
    <xf numFmtId="4" fontId="16" fillId="34" borderId="10" xfId="48" applyNumberFormat="1" applyFont="1" applyFill="1" applyBorder="1" applyAlignment="1">
      <alignment horizontal="center" vertical="center"/>
      <protection/>
    </xf>
    <xf numFmtId="181" fontId="16" fillId="34" borderId="10" xfId="48" applyNumberFormat="1" applyFont="1" applyFill="1" applyBorder="1" applyAlignment="1">
      <alignment horizontal="center" vertical="center"/>
      <protection/>
    </xf>
    <xf numFmtId="4" fontId="16" fillId="34" borderId="46" xfId="48" applyNumberFormat="1" applyFont="1" applyFill="1" applyBorder="1" applyAlignment="1">
      <alignment horizontal="center" vertical="center"/>
      <protection/>
    </xf>
    <xf numFmtId="2" fontId="15" fillId="34" borderId="10" xfId="48" applyNumberFormat="1" applyFont="1" applyFill="1" applyBorder="1" applyAlignment="1">
      <alignment horizontal="center" vertical="center" wrapText="1"/>
      <protection/>
    </xf>
    <xf numFmtId="2" fontId="19" fillId="0" borderId="10" xfId="48" applyNumberFormat="1" applyFont="1" applyFill="1" applyBorder="1" applyAlignment="1">
      <alignment horizontal="center" vertical="center" wrapText="1"/>
      <protection/>
    </xf>
    <xf numFmtId="49" fontId="13" fillId="0" borderId="10" xfId="48" applyNumberFormat="1" applyFont="1" applyFill="1" applyBorder="1" applyAlignment="1">
      <alignment horizontal="center" wrapText="1"/>
      <protection/>
    </xf>
    <xf numFmtId="2" fontId="19" fillId="32" borderId="10" xfId="48" applyNumberFormat="1" applyFont="1" applyFill="1" applyBorder="1" applyAlignment="1">
      <alignment horizontal="center" vertical="center"/>
      <protection/>
    </xf>
    <xf numFmtId="0" fontId="20" fillId="0" borderId="0" xfId="48" applyFont="1" applyFill="1">
      <alignment/>
      <protection/>
    </xf>
    <xf numFmtId="2" fontId="12" fillId="34" borderId="10" xfId="48" applyNumberFormat="1" applyFont="1" applyFill="1" applyBorder="1" applyAlignment="1">
      <alignment horizontal="center" vertical="center" wrapText="1"/>
      <protection/>
    </xf>
    <xf numFmtId="2" fontId="11" fillId="0" borderId="10" xfId="48" applyNumberFormat="1" applyFont="1" applyFill="1" applyBorder="1" applyAlignment="1">
      <alignment horizontal="center"/>
      <protection/>
    </xf>
    <xf numFmtId="2" fontId="16" fillId="0" borderId="10" xfId="48" applyNumberFormat="1" applyFont="1" applyFill="1" applyBorder="1" applyAlignment="1">
      <alignment horizontal="center" vertical="center" wrapText="1"/>
      <protection/>
    </xf>
    <xf numFmtId="2" fontId="19" fillId="0" borderId="46" xfId="48" applyNumberFormat="1" applyFont="1" applyFill="1" applyBorder="1" applyAlignment="1">
      <alignment horizontal="center" vertical="center" wrapText="1"/>
      <protection/>
    </xf>
    <xf numFmtId="0" fontId="11" fillId="0" borderId="0" xfId="48" applyFont="1" applyFill="1" applyAlignment="1">
      <alignment horizontal="center"/>
      <protection/>
    </xf>
    <xf numFmtId="3" fontId="11" fillId="0" borderId="10" xfId="48" applyNumberFormat="1" applyFont="1" applyFill="1" applyBorder="1">
      <alignment/>
      <protection/>
    </xf>
    <xf numFmtId="1" fontId="13" fillId="0" borderId="10" xfId="48" applyNumberFormat="1" applyFont="1" applyFill="1" applyBorder="1" applyAlignment="1">
      <alignment horizontal="center" wrapText="1"/>
      <protection/>
    </xf>
    <xf numFmtId="1" fontId="12" fillId="0" borderId="10" xfId="48" applyNumberFormat="1" applyFont="1" applyFill="1" applyBorder="1" applyAlignment="1">
      <alignment wrapText="1"/>
      <protection/>
    </xf>
    <xf numFmtId="1" fontId="19" fillId="0" borderId="10" xfId="48" applyNumberFormat="1" applyFont="1" applyFill="1" applyBorder="1" applyAlignment="1">
      <alignment wrapText="1"/>
      <protection/>
    </xf>
    <xf numFmtId="4" fontId="19" fillId="0" borderId="10" xfId="48" applyNumberFormat="1" applyFont="1" applyFill="1" applyBorder="1" applyAlignment="1">
      <alignment wrapText="1"/>
      <protection/>
    </xf>
    <xf numFmtId="0" fontId="13" fillId="0" borderId="20" xfId="48" applyFont="1" applyFill="1" applyBorder="1" applyAlignment="1">
      <alignment wrapText="1"/>
      <protection/>
    </xf>
    <xf numFmtId="1" fontId="13" fillId="0" borderId="20" xfId="48" applyNumberFormat="1" applyFont="1" applyFill="1" applyBorder="1" applyAlignment="1">
      <alignment horizontal="center" wrapText="1"/>
      <protection/>
    </xf>
    <xf numFmtId="1" fontId="12" fillId="0" borderId="20" xfId="48" applyNumberFormat="1" applyFont="1" applyFill="1" applyBorder="1" applyAlignment="1">
      <alignment wrapText="1"/>
      <protection/>
    </xf>
    <xf numFmtId="1" fontId="19" fillId="0" borderId="20" xfId="48" applyNumberFormat="1" applyFont="1" applyFill="1" applyBorder="1" applyAlignment="1">
      <alignment wrapText="1"/>
      <protection/>
    </xf>
    <xf numFmtId="4" fontId="19" fillId="0" borderId="20" xfId="48" applyNumberFormat="1" applyFont="1" applyFill="1" applyBorder="1" applyAlignment="1">
      <alignment wrapText="1"/>
      <protection/>
    </xf>
    <xf numFmtId="2" fontId="11" fillId="0" borderId="20" xfId="48" applyNumberFormat="1" applyFont="1" applyFill="1" applyBorder="1" applyAlignment="1">
      <alignment horizontal="center"/>
      <protection/>
    </xf>
    <xf numFmtId="0" fontId="13" fillId="34" borderId="10" xfId="48" applyFont="1" applyFill="1" applyBorder="1">
      <alignment/>
      <protection/>
    </xf>
    <xf numFmtId="0" fontId="21" fillId="0" borderId="10" xfId="48" applyFont="1" applyFill="1" applyBorder="1">
      <alignment/>
      <protection/>
    </xf>
    <xf numFmtId="0" fontId="21" fillId="0" borderId="0" xfId="48" applyFont="1" applyFill="1">
      <alignment/>
      <protection/>
    </xf>
    <xf numFmtId="0" fontId="13" fillId="34" borderId="35" xfId="48" applyFont="1" applyFill="1" applyBorder="1">
      <alignment/>
      <protection/>
    </xf>
    <xf numFmtId="0" fontId="21" fillId="0" borderId="35" xfId="48" applyFont="1" applyFill="1" applyBorder="1">
      <alignment/>
      <protection/>
    </xf>
    <xf numFmtId="0" fontId="21" fillId="0" borderId="0" xfId="48" applyFont="1" applyFill="1" applyBorder="1">
      <alignment/>
      <protection/>
    </xf>
    <xf numFmtId="0" fontId="13" fillId="0" borderId="10" xfId="48" applyFont="1" applyFill="1" applyBorder="1" applyAlignment="1">
      <alignment horizontal="center" vertical="center"/>
      <protection/>
    </xf>
    <xf numFmtId="0" fontId="13" fillId="0" borderId="35" xfId="48" applyFont="1" applyFill="1" applyBorder="1">
      <alignment/>
      <protection/>
    </xf>
    <xf numFmtId="2" fontId="13" fillId="0" borderId="35" xfId="48" applyNumberFormat="1" applyFont="1" applyFill="1" applyBorder="1" applyAlignment="1">
      <alignment horizontal="center" vertical="center"/>
      <protection/>
    </xf>
    <xf numFmtId="2" fontId="12" fillId="0" borderId="35" xfId="48" applyNumberFormat="1" applyFont="1" applyFill="1" applyBorder="1" applyAlignment="1">
      <alignment horizontal="center" vertical="center"/>
      <protection/>
    </xf>
    <xf numFmtId="2" fontId="11" fillId="0" borderId="35" xfId="48" applyNumberFormat="1" applyFont="1" applyFill="1" applyBorder="1" applyAlignment="1">
      <alignment horizontal="center"/>
      <protection/>
    </xf>
    <xf numFmtId="0" fontId="3" fillId="0" borderId="10" xfId="48" applyFill="1" applyBorder="1">
      <alignment/>
      <protection/>
    </xf>
    <xf numFmtId="0" fontId="13" fillId="34" borderId="10" xfId="48" applyFont="1" applyFill="1" applyBorder="1" applyAlignment="1">
      <alignment horizontal="center" vertical="center"/>
      <protection/>
    </xf>
    <xf numFmtId="0" fontId="9" fillId="34" borderId="10" xfId="48" applyFont="1" applyFill="1" applyBorder="1">
      <alignment/>
      <protection/>
    </xf>
    <xf numFmtId="2" fontId="15" fillId="2" borderId="10" xfId="48" applyNumberFormat="1" applyFont="1" applyFill="1" applyBorder="1" applyAlignment="1">
      <alignment horizontal="center" vertical="center" wrapText="1"/>
      <protection/>
    </xf>
    <xf numFmtId="0" fontId="3" fillId="34" borderId="10" xfId="48" applyFont="1" applyFill="1" applyBorder="1">
      <alignment/>
      <protection/>
    </xf>
    <xf numFmtId="0" fontId="3" fillId="34" borderId="46" xfId="48" applyFont="1" applyFill="1" applyBorder="1">
      <alignment/>
      <protection/>
    </xf>
    <xf numFmtId="2" fontId="9" fillId="34" borderId="10" xfId="48" applyNumberFormat="1" applyFont="1" applyFill="1" applyBorder="1">
      <alignment/>
      <protection/>
    </xf>
    <xf numFmtId="2" fontId="9" fillId="0" borderId="0" xfId="48" applyNumberFormat="1" applyFont="1" applyFill="1">
      <alignment/>
      <protection/>
    </xf>
    <xf numFmtId="2" fontId="22" fillId="32" borderId="0" xfId="48" applyNumberFormat="1" applyFont="1" applyFill="1" applyBorder="1" applyAlignment="1">
      <alignment horizontal="center" vertical="center"/>
      <protection/>
    </xf>
    <xf numFmtId="0" fontId="10" fillId="0" borderId="0" xfId="48" applyFont="1" applyFill="1" applyAlignment="1">
      <alignment horizontal="left" wrapText="1"/>
      <protection/>
    </xf>
    <xf numFmtId="0" fontId="10" fillId="0" borderId="0" xfId="48" applyFont="1" applyFill="1" applyAlignment="1">
      <alignment horizontal="right"/>
      <protection/>
    </xf>
    <xf numFmtId="0" fontId="15" fillId="0" borderId="0" xfId="48" applyFont="1" applyFill="1">
      <alignment/>
      <protection/>
    </xf>
    <xf numFmtId="0" fontId="23" fillId="0" borderId="0" xfId="48" applyFont="1" applyFill="1">
      <alignment/>
      <protection/>
    </xf>
    <xf numFmtId="0" fontId="24" fillId="0" borderId="0" xfId="48" applyFont="1" applyFill="1">
      <alignment/>
      <protection/>
    </xf>
    <xf numFmtId="2" fontId="26" fillId="0" borderId="10" xfId="0" applyNumberFormat="1" applyFont="1" applyFill="1" applyBorder="1" applyAlignment="1" applyProtection="1">
      <alignment/>
      <protection locked="0"/>
    </xf>
    <xf numFmtId="4" fontId="26" fillId="0" borderId="10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/>
    </xf>
    <xf numFmtId="183" fontId="26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80" fontId="26" fillId="0" borderId="11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 vertical="center"/>
    </xf>
    <xf numFmtId="181" fontId="26" fillId="0" borderId="22" xfId="0" applyNumberFormat="1" applyFont="1" applyFill="1" applyBorder="1" applyAlignment="1">
      <alignment/>
    </xf>
    <xf numFmtId="181" fontId="26" fillId="0" borderId="11" xfId="0" applyNumberFormat="1" applyFont="1" applyFill="1" applyBorder="1" applyAlignment="1">
      <alignment horizontal="right"/>
    </xf>
    <xf numFmtId="2" fontId="26" fillId="0" borderId="11" xfId="0" applyNumberFormat="1" applyFont="1" applyFill="1" applyBorder="1" applyAlignment="1">
      <alignment horizontal="right"/>
    </xf>
    <xf numFmtId="2" fontId="26" fillId="0" borderId="22" xfId="0" applyNumberFormat="1" applyFont="1" applyFill="1" applyBorder="1" applyAlignment="1">
      <alignment horizontal="right"/>
    </xf>
    <xf numFmtId="180" fontId="26" fillId="0" borderId="11" xfId="0" applyNumberFormat="1" applyFont="1" applyFill="1" applyBorder="1" applyAlignment="1">
      <alignment horizontal="right"/>
    </xf>
    <xf numFmtId="2" fontId="26" fillId="0" borderId="25" xfId="0" applyNumberFormat="1" applyFont="1" applyFill="1" applyBorder="1" applyAlignment="1">
      <alignment horizontal="right"/>
    </xf>
    <xf numFmtId="181" fontId="26" fillId="0" borderId="10" xfId="0" applyNumberFormat="1" applyFont="1" applyFill="1" applyBorder="1" applyAlignment="1">
      <alignment/>
    </xf>
    <xf numFmtId="181" fontId="26" fillId="0" borderId="10" xfId="0" applyNumberFormat="1" applyFont="1" applyFill="1" applyBorder="1" applyAlignment="1">
      <alignment horizontal="right"/>
    </xf>
    <xf numFmtId="2" fontId="26" fillId="0" borderId="10" xfId="0" applyNumberFormat="1" applyFont="1" applyFill="1" applyBorder="1" applyAlignment="1">
      <alignment horizontal="right"/>
    </xf>
    <xf numFmtId="2" fontId="26" fillId="0" borderId="16" xfId="0" applyNumberFormat="1" applyFont="1" applyFill="1" applyBorder="1" applyAlignment="1">
      <alignment horizontal="right"/>
    </xf>
    <xf numFmtId="181" fontId="26" fillId="0" borderId="10" xfId="0" applyNumberFormat="1" applyFont="1" applyFill="1" applyBorder="1" applyAlignment="1">
      <alignment horizontal="center" vertical="center"/>
    </xf>
    <xf numFmtId="180" fontId="26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/>
    </xf>
    <xf numFmtId="2" fontId="26" fillId="0" borderId="16" xfId="0" applyNumberFormat="1" applyFont="1" applyFill="1" applyBorder="1" applyAlignment="1">
      <alignment/>
    </xf>
    <xf numFmtId="181" fontId="26" fillId="0" borderId="10" xfId="0" applyNumberFormat="1" applyFont="1" applyFill="1" applyBorder="1" applyAlignment="1">
      <alignment/>
    </xf>
    <xf numFmtId="2" fontId="26" fillId="0" borderId="10" xfId="0" applyNumberFormat="1" applyFont="1" applyFill="1" applyBorder="1" applyAlignment="1">
      <alignment/>
    </xf>
    <xf numFmtId="181" fontId="26" fillId="0" borderId="35" xfId="0" applyNumberFormat="1" applyFont="1" applyFill="1" applyBorder="1" applyAlignment="1">
      <alignment horizontal="center" vertical="center"/>
    </xf>
    <xf numFmtId="181" fontId="26" fillId="0" borderId="14" xfId="0" applyNumberFormat="1" applyFont="1" applyFill="1" applyBorder="1" applyAlignment="1">
      <alignment/>
    </xf>
    <xf numFmtId="2" fontId="26" fillId="0" borderId="14" xfId="0" applyNumberFormat="1" applyFont="1" applyFill="1" applyBorder="1" applyAlignment="1">
      <alignment/>
    </xf>
    <xf numFmtId="0" fontId="26" fillId="0" borderId="18" xfId="0" applyFont="1" applyFill="1" applyBorder="1" applyAlignment="1">
      <alignment horizontal="center" vertical="center"/>
    </xf>
    <xf numFmtId="0" fontId="25" fillId="0" borderId="0" xfId="48" applyFont="1" applyFill="1">
      <alignment/>
      <protection/>
    </xf>
    <xf numFmtId="0" fontId="10" fillId="0" borderId="0" xfId="48" applyFont="1" applyFill="1" applyAlignment="1">
      <alignment/>
      <protection/>
    </xf>
    <xf numFmtId="0" fontId="4" fillId="0" borderId="0" xfId="48" applyFont="1" applyFill="1" applyAlignment="1">
      <alignment horizontal="center" vertical="center"/>
      <protection/>
    </xf>
    <xf numFmtId="0" fontId="15" fillId="0" borderId="0" xfId="48" applyFont="1" applyFill="1" applyAlignment="1">
      <alignment horizontal="center" vertical="center"/>
      <protection/>
    </xf>
    <xf numFmtId="0" fontId="26" fillId="2" borderId="46" xfId="0" applyFont="1" applyFill="1" applyBorder="1" applyAlignment="1" applyProtection="1">
      <alignment horizontal="center" vertical="center" wrapText="1"/>
      <protection locked="0"/>
    </xf>
    <xf numFmtId="0" fontId="26" fillId="2" borderId="47" xfId="0" applyFont="1" applyFill="1" applyBorder="1" applyAlignment="1" applyProtection="1">
      <alignment horizontal="center" vertical="center" wrapText="1"/>
      <protection locked="0"/>
    </xf>
    <xf numFmtId="183" fontId="26" fillId="0" borderId="10" xfId="0" applyNumberFormat="1" applyFont="1" applyBorder="1" applyAlignment="1">
      <alignment/>
    </xf>
    <xf numFmtId="0" fontId="26" fillId="0" borderId="38" xfId="0" applyFont="1" applyBorder="1" applyAlignment="1">
      <alignment horizontal="right"/>
    </xf>
    <xf numFmtId="0" fontId="26" fillId="0" borderId="35" xfId="0" applyFont="1" applyBorder="1" applyAlignment="1">
      <alignment wrapText="1"/>
    </xf>
    <xf numFmtId="3" fontId="26" fillId="0" borderId="35" xfId="0" applyNumberFormat="1" applyFont="1" applyFill="1" applyBorder="1" applyAlignment="1">
      <alignment/>
    </xf>
    <xf numFmtId="3" fontId="26" fillId="0" borderId="35" xfId="0" applyNumberFormat="1" applyFont="1" applyBorder="1" applyAlignment="1">
      <alignment/>
    </xf>
    <xf numFmtId="3" fontId="26" fillId="0" borderId="35" xfId="0" applyNumberFormat="1" applyFont="1" applyFill="1" applyBorder="1" applyAlignment="1">
      <alignment horizontal="center" vertical="center"/>
    </xf>
    <xf numFmtId="1" fontId="26" fillId="0" borderId="35" xfId="0" applyNumberFormat="1" applyFont="1" applyBorder="1" applyAlignment="1">
      <alignment/>
    </xf>
    <xf numFmtId="3" fontId="26" fillId="0" borderId="37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/>
    </xf>
    <xf numFmtId="1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/>
    </xf>
    <xf numFmtId="180" fontId="26" fillId="0" borderId="16" xfId="0" applyNumberFormat="1" applyFont="1" applyFill="1" applyBorder="1" applyAlignment="1">
      <alignment/>
    </xf>
    <xf numFmtId="180" fontId="26" fillId="0" borderId="11" xfId="0" applyNumberFormat="1" applyFont="1" applyFill="1" applyBorder="1" applyAlignment="1">
      <alignment horizontal="center" vertical="center"/>
    </xf>
    <xf numFmtId="180" fontId="26" fillId="0" borderId="25" xfId="0" applyNumberFormat="1" applyFont="1" applyFill="1" applyBorder="1" applyAlignment="1">
      <alignment horizontal="right" vertical="center"/>
    </xf>
    <xf numFmtId="2" fontId="26" fillId="0" borderId="16" xfId="0" applyNumberFormat="1" applyFont="1" applyFill="1" applyBorder="1" applyAlignment="1">
      <alignment horizontal="center" vertical="center"/>
    </xf>
    <xf numFmtId="2" fontId="26" fillId="0" borderId="16" xfId="0" applyNumberFormat="1" applyFont="1" applyFill="1" applyBorder="1" applyAlignment="1">
      <alignment horizontal="right" vertical="center"/>
    </xf>
    <xf numFmtId="2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right" vertical="center"/>
    </xf>
    <xf numFmtId="2" fontId="26" fillId="0" borderId="18" xfId="0" applyNumberFormat="1" applyFont="1" applyFill="1" applyBorder="1" applyAlignment="1">
      <alignment horizontal="right" vertical="center"/>
    </xf>
    <xf numFmtId="183" fontId="26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26" fillId="0" borderId="48" xfId="0" applyFont="1" applyBorder="1" applyAlignment="1" applyProtection="1">
      <alignment horizontal="center" vertical="center" wrapText="1"/>
      <protection/>
    </xf>
    <xf numFmtId="0" fontId="26" fillId="0" borderId="49" xfId="0" applyFont="1" applyBorder="1" applyAlignment="1" applyProtection="1">
      <alignment horizontal="left" vertical="center" wrapText="1"/>
      <protection/>
    </xf>
    <xf numFmtId="3" fontId="26" fillId="0" borderId="49" xfId="0" applyNumberFormat="1" applyFont="1" applyBorder="1" applyAlignment="1" applyProtection="1">
      <alignment horizontal="center" vertical="center" wrapText="1"/>
      <protection/>
    </xf>
    <xf numFmtId="3" fontId="26" fillId="2" borderId="49" xfId="0" applyNumberFormat="1" applyFont="1" applyFill="1" applyBorder="1" applyAlignment="1" applyProtection="1">
      <alignment horizontal="center" vertical="center" wrapText="1"/>
      <protection/>
    </xf>
    <xf numFmtId="3" fontId="26" fillId="2" borderId="50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left" vertical="center" wrapText="1"/>
      <protection/>
    </xf>
    <xf numFmtId="3" fontId="26" fillId="0" borderId="11" xfId="0" applyNumberFormat="1" applyFont="1" applyBorder="1" applyAlignment="1" applyProtection="1">
      <alignment horizontal="center" vertical="center" wrapText="1"/>
      <protection/>
    </xf>
    <xf numFmtId="3" fontId="26" fillId="0" borderId="11" xfId="0" applyNumberFormat="1" applyFont="1" applyFill="1" applyBorder="1" applyAlignment="1" applyProtection="1">
      <alignment horizontal="center" vertical="center" wrapText="1"/>
      <protection/>
    </xf>
    <xf numFmtId="3" fontId="26" fillId="0" borderId="25" xfId="0" applyNumberFormat="1" applyFont="1" applyFill="1" applyBorder="1" applyAlignment="1" applyProtection="1">
      <alignment horizontal="center" vertical="center" wrapText="1"/>
      <protection/>
    </xf>
    <xf numFmtId="16" fontId="26" fillId="0" borderId="12" xfId="0" applyNumberFormat="1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3" fontId="26" fillId="0" borderId="10" xfId="0" applyNumberFormat="1" applyFont="1" applyBorder="1" applyAlignment="1" applyProtection="1">
      <alignment horizontal="center" vertical="center" wrapText="1"/>
      <protection/>
    </xf>
    <xf numFmtId="3" fontId="26" fillId="2" borderId="10" xfId="0" applyNumberFormat="1" applyFont="1" applyFill="1" applyBorder="1" applyAlignment="1" applyProtection="1">
      <alignment horizontal="center" vertical="center" wrapText="1"/>
      <protection/>
    </xf>
    <xf numFmtId="3" fontId="26" fillId="2" borderId="16" xfId="0" applyNumberFormat="1" applyFont="1" applyFill="1" applyBorder="1" applyAlignment="1" applyProtection="1">
      <alignment horizontal="center" vertical="center" wrapText="1"/>
      <protection/>
    </xf>
    <xf numFmtId="16" fontId="26" fillId="0" borderId="13" xfId="0" applyNumberFormat="1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left" vertical="center" wrapText="1"/>
      <protection/>
    </xf>
    <xf numFmtId="3" fontId="26" fillId="0" borderId="14" xfId="0" applyNumberFormat="1" applyFont="1" applyBorder="1" applyAlignment="1" applyProtection="1">
      <alignment horizontal="center" vertical="center" wrapText="1"/>
      <protection/>
    </xf>
    <xf numFmtId="3" fontId="26" fillId="2" borderId="14" xfId="0" applyNumberFormat="1" applyFont="1" applyFill="1" applyBorder="1" applyAlignment="1" applyProtection="1">
      <alignment horizontal="center" vertical="center" wrapText="1"/>
      <protection/>
    </xf>
    <xf numFmtId="3" fontId="26" fillId="2" borderId="18" xfId="0" applyNumberFormat="1" applyFont="1" applyFill="1" applyBorder="1" applyAlignment="1" applyProtection="1">
      <alignment horizontal="center" vertical="center" wrapText="1"/>
      <protection/>
    </xf>
    <xf numFmtId="3" fontId="26" fillId="0" borderId="25" xfId="0" applyNumberFormat="1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3" fontId="26" fillId="0" borderId="16" xfId="0" applyNumberFormat="1" applyFont="1" applyBorder="1" applyAlignment="1" applyProtection="1">
      <alignment horizontal="center" vertical="center" wrapText="1"/>
      <protection/>
    </xf>
    <xf numFmtId="3" fontId="26" fillId="0" borderId="18" xfId="0" applyNumberFormat="1" applyFont="1" applyBorder="1" applyAlignment="1" applyProtection="1">
      <alignment horizontal="center" vertical="center" wrapText="1"/>
      <protection/>
    </xf>
    <xf numFmtId="181" fontId="26" fillId="0" borderId="11" xfId="0" applyNumberFormat="1" applyFont="1" applyBorder="1" applyAlignment="1" applyProtection="1">
      <alignment horizontal="center" vertical="center" wrapText="1"/>
      <protection/>
    </xf>
    <xf numFmtId="181" fontId="26" fillId="0" borderId="25" xfId="0" applyNumberFormat="1" applyFont="1" applyBorder="1" applyAlignment="1" applyProtection="1">
      <alignment horizontal="center" vertical="center" wrapText="1"/>
      <protection/>
    </xf>
    <xf numFmtId="181" fontId="26" fillId="0" borderId="10" xfId="0" applyNumberFormat="1" applyFont="1" applyBorder="1" applyAlignment="1" applyProtection="1">
      <alignment horizontal="center" vertical="center" wrapText="1"/>
      <protection/>
    </xf>
    <xf numFmtId="181" fontId="26" fillId="2" borderId="16" xfId="0" applyNumberFormat="1" applyFont="1" applyFill="1" applyBorder="1" applyAlignment="1" applyProtection="1">
      <alignment horizontal="center" vertical="center" wrapText="1"/>
      <protection/>
    </xf>
    <xf numFmtId="181" fontId="26" fillId="0" borderId="14" xfId="0" applyNumberFormat="1" applyFont="1" applyBorder="1" applyAlignment="1" applyProtection="1">
      <alignment horizontal="center" vertical="center" wrapText="1"/>
      <protection/>
    </xf>
    <xf numFmtId="3" fontId="26" fillId="2" borderId="11" xfId="0" applyNumberFormat="1" applyFont="1" applyFill="1" applyBorder="1" applyAlignment="1" applyProtection="1">
      <alignment horizontal="center" vertical="center" wrapText="1"/>
      <protection/>
    </xf>
    <xf numFmtId="3" fontId="26" fillId="2" borderId="25" xfId="0" applyNumberFormat="1" applyFont="1" applyFill="1" applyBorder="1" applyAlignment="1" applyProtection="1">
      <alignment horizontal="center" vertical="center" wrapText="1"/>
      <protection/>
    </xf>
    <xf numFmtId="3" fontId="26" fillId="0" borderId="14" xfId="0" applyNumberFormat="1" applyFont="1" applyFill="1" applyBorder="1" applyAlignment="1" applyProtection="1">
      <alignment horizontal="center" vertical="center" wrapText="1"/>
      <protection/>
    </xf>
    <xf numFmtId="3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35" xfId="0" applyFont="1" applyBorder="1" applyAlignment="1" applyProtection="1">
      <alignment horizontal="left" vertical="center" wrapText="1"/>
      <protection/>
    </xf>
    <xf numFmtId="182" fontId="26" fillId="0" borderId="14" xfId="0" applyNumberFormat="1" applyFont="1" applyFill="1" applyBorder="1" applyAlignment="1">
      <alignment/>
    </xf>
    <xf numFmtId="183" fontId="26" fillId="0" borderId="14" xfId="0" applyNumberFormat="1" applyFont="1" applyFill="1" applyBorder="1" applyAlignment="1">
      <alignment horizontal="center"/>
    </xf>
    <xf numFmtId="183" fontId="26" fillId="0" borderId="0" xfId="0" applyNumberFormat="1" applyFont="1" applyAlignment="1">
      <alignment horizontal="center" vertical="center" wrapText="1"/>
    </xf>
    <xf numFmtId="1" fontId="26" fillId="0" borderId="0" xfId="0" applyNumberFormat="1" applyFont="1" applyAlignment="1">
      <alignment/>
    </xf>
    <xf numFmtId="183" fontId="26" fillId="2" borderId="10" xfId="0" applyNumberFormat="1" applyFont="1" applyFill="1" applyBorder="1" applyAlignment="1" applyProtection="1">
      <alignment horizontal="right"/>
      <protection locked="0"/>
    </xf>
    <xf numFmtId="0" fontId="26" fillId="0" borderId="17" xfId="0" applyFont="1" applyBorder="1" applyAlignment="1" applyProtection="1">
      <alignment horizontal="left" vertical="center" wrapText="1"/>
      <protection/>
    </xf>
    <xf numFmtId="183" fontId="26" fillId="2" borderId="10" xfId="0" applyNumberFormat="1" applyFont="1" applyFill="1" applyBorder="1" applyAlignment="1" applyProtection="1">
      <alignment horizontal="center"/>
      <protection locked="0"/>
    </xf>
    <xf numFmtId="3" fontId="26" fillId="0" borderId="0" xfId="0" applyNumberFormat="1" applyFont="1" applyAlignment="1">
      <alignment horizontal="center" vertical="center" wrapText="1"/>
    </xf>
    <xf numFmtId="9" fontId="21" fillId="0" borderId="10" xfId="60" applyFont="1" applyFill="1" applyBorder="1" applyAlignment="1">
      <alignment horizontal="center"/>
    </xf>
    <xf numFmtId="2" fontId="15" fillId="35" borderId="10" xfId="48" applyNumberFormat="1" applyFont="1" applyFill="1" applyBorder="1" applyAlignment="1">
      <alignment horizontal="center" vertical="center" wrapText="1"/>
      <protection/>
    </xf>
    <xf numFmtId="4" fontId="26" fillId="35" borderId="10" xfId="0" applyNumberFormat="1" applyFont="1" applyFill="1" applyBorder="1" applyAlignment="1" applyProtection="1">
      <alignment/>
      <protection locked="0"/>
    </xf>
    <xf numFmtId="2" fontId="26" fillId="35" borderId="10" xfId="0" applyNumberFormat="1" applyFont="1" applyFill="1" applyBorder="1" applyAlignment="1" applyProtection="1">
      <alignment/>
      <protection locked="0"/>
    </xf>
    <xf numFmtId="2" fontId="26" fillId="0" borderId="34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 wrapText="1"/>
    </xf>
    <xf numFmtId="0" fontId="0" fillId="0" borderId="0" xfId="0" applyFill="1" applyAlignment="1">
      <alignment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181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181" fontId="19" fillId="0" borderId="1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/>
    </xf>
    <xf numFmtId="181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181" fontId="16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2" fontId="19" fillId="32" borderId="10" xfId="0" applyNumberFormat="1" applyFont="1" applyFill="1" applyBorder="1" applyAlignment="1">
      <alignment horizontal="center" vertical="center" wrapText="1"/>
    </xf>
    <xf numFmtId="2" fontId="19" fillId="32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1" fontId="19" fillId="0" borderId="10" xfId="0" applyNumberFormat="1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/>
    </xf>
    <xf numFmtId="183" fontId="26" fillId="2" borderId="46" xfId="0" applyNumberFormat="1" applyFont="1" applyFill="1" applyBorder="1" applyAlignment="1" applyProtection="1">
      <alignment horizontal="center" vertical="center" wrapText="1"/>
      <protection/>
    </xf>
    <xf numFmtId="183" fontId="26" fillId="2" borderId="51" xfId="0" applyNumberFormat="1" applyFont="1" applyFill="1" applyBorder="1" applyAlignment="1" applyProtection="1">
      <alignment horizontal="center" vertical="center" wrapText="1"/>
      <protection/>
    </xf>
    <xf numFmtId="183" fontId="26" fillId="2" borderId="52" xfId="0" applyNumberFormat="1" applyFont="1" applyFill="1" applyBorder="1" applyAlignment="1" applyProtection="1">
      <alignment horizontal="center" vertical="center" wrapText="1"/>
      <protection/>
    </xf>
    <xf numFmtId="0" fontId="26" fillId="2" borderId="47" xfId="0" applyFont="1" applyFill="1" applyBorder="1" applyAlignment="1" applyProtection="1">
      <alignment horizontal="center" vertical="center" wrapText="1"/>
      <protection/>
    </xf>
    <xf numFmtId="0" fontId="26" fillId="2" borderId="53" xfId="0" applyFont="1" applyFill="1" applyBorder="1" applyAlignment="1" applyProtection="1">
      <alignment horizontal="center" vertical="center" wrapText="1"/>
      <protection/>
    </xf>
    <xf numFmtId="0" fontId="26" fillId="2" borderId="54" xfId="0" applyFont="1" applyFill="1" applyBorder="1" applyAlignment="1" applyProtection="1">
      <alignment horizontal="center" vertical="center" wrapText="1"/>
      <protection/>
    </xf>
    <xf numFmtId="0" fontId="26" fillId="0" borderId="55" xfId="0" applyFont="1" applyBorder="1" applyAlignment="1" applyProtection="1">
      <alignment horizontal="center" vertical="center" wrapText="1"/>
      <protection/>
    </xf>
    <xf numFmtId="0" fontId="26" fillId="0" borderId="56" xfId="0" applyFont="1" applyBorder="1" applyAlignment="1" applyProtection="1">
      <alignment horizontal="center" vertical="center" wrapText="1"/>
      <protection/>
    </xf>
    <xf numFmtId="0" fontId="26" fillId="0" borderId="57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right" vertical="center" wrapText="1"/>
      <protection/>
    </xf>
    <xf numFmtId="0" fontId="26" fillId="2" borderId="46" xfId="0" applyFont="1" applyFill="1" applyBorder="1" applyAlignment="1" applyProtection="1">
      <alignment horizontal="center" vertical="center" wrapText="1"/>
      <protection/>
    </xf>
    <xf numFmtId="0" fontId="26" fillId="2" borderId="51" xfId="0" applyFont="1" applyFill="1" applyBorder="1" applyAlignment="1" applyProtection="1">
      <alignment horizontal="center" vertical="center" wrapText="1"/>
      <protection/>
    </xf>
    <xf numFmtId="0" fontId="26" fillId="2" borderId="52" xfId="0" applyFont="1" applyFill="1" applyBorder="1" applyAlignment="1" applyProtection="1">
      <alignment horizontal="center" vertical="center" wrapText="1"/>
      <protection/>
    </xf>
    <xf numFmtId="183" fontId="26" fillId="2" borderId="46" xfId="0" applyNumberFormat="1" applyFont="1" applyFill="1" applyBorder="1" applyAlignment="1" applyProtection="1">
      <alignment horizontal="center" vertical="center" wrapText="1"/>
      <protection/>
    </xf>
    <xf numFmtId="183" fontId="26" fillId="2" borderId="51" xfId="0" applyNumberFormat="1" applyFont="1" applyFill="1" applyBorder="1" applyAlignment="1" applyProtection="1">
      <alignment horizontal="center" vertical="center" wrapText="1"/>
      <protection/>
    </xf>
    <xf numFmtId="183" fontId="26" fillId="2" borderId="52" xfId="0" applyNumberFormat="1" applyFont="1" applyFill="1" applyBorder="1" applyAlignment="1" applyProtection="1">
      <alignment horizontal="center" vertical="center" wrapText="1"/>
      <protection/>
    </xf>
    <xf numFmtId="0" fontId="26" fillId="2" borderId="46" xfId="0" applyFont="1" applyFill="1" applyBorder="1" applyAlignment="1" applyProtection="1">
      <alignment horizontal="center" vertical="center" wrapText="1"/>
      <protection/>
    </xf>
    <xf numFmtId="0" fontId="26" fillId="2" borderId="51" xfId="0" applyFont="1" applyFill="1" applyBorder="1" applyAlignment="1" applyProtection="1">
      <alignment horizontal="center" vertical="center" wrapText="1"/>
      <protection/>
    </xf>
    <xf numFmtId="0" fontId="26" fillId="2" borderId="52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2" borderId="47" xfId="0" applyFont="1" applyFill="1" applyBorder="1" applyAlignment="1" applyProtection="1">
      <alignment horizontal="center" vertical="center" wrapText="1"/>
      <protection/>
    </xf>
    <xf numFmtId="0" fontId="26" fillId="2" borderId="53" xfId="0" applyFont="1" applyFill="1" applyBorder="1" applyAlignment="1" applyProtection="1">
      <alignment horizontal="center" vertical="center" wrapText="1"/>
      <protection/>
    </xf>
    <xf numFmtId="0" fontId="26" fillId="2" borderId="54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6" fillId="0" borderId="58" xfId="0" applyFont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35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25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55" xfId="0" applyFont="1" applyBorder="1" applyAlignment="1" applyProtection="1">
      <alignment horizontal="center" vertical="center" wrapText="1"/>
      <protection locked="0"/>
    </xf>
    <xf numFmtId="0" fontId="26" fillId="0" borderId="56" xfId="0" applyFont="1" applyBorder="1" applyAlignment="1" applyProtection="1">
      <alignment horizontal="center" vertical="center" wrapText="1"/>
      <protection locked="0"/>
    </xf>
    <xf numFmtId="0" fontId="26" fillId="0" borderId="57" xfId="0" applyFont="1" applyBorder="1" applyAlignment="1" applyProtection="1">
      <alignment horizontal="center" vertical="center" wrapText="1"/>
      <protection locked="0"/>
    </xf>
    <xf numFmtId="183" fontId="26" fillId="2" borderId="14" xfId="0" applyNumberFormat="1" applyFont="1" applyFill="1" applyBorder="1" applyAlignment="1" applyProtection="1">
      <alignment horizontal="center" vertical="center" wrapText="1"/>
      <protection locked="0"/>
    </xf>
    <xf numFmtId="183" fontId="26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46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2" borderId="46" xfId="0" applyFont="1" applyFill="1" applyBorder="1" applyAlignment="1" applyProtection="1">
      <alignment horizontal="center" vertical="center" wrapText="1"/>
      <protection locked="0"/>
    </xf>
    <xf numFmtId="0" fontId="26" fillId="2" borderId="51" xfId="0" applyFont="1" applyFill="1" applyBorder="1" applyAlignment="1" applyProtection="1">
      <alignment horizontal="center" vertical="center" wrapText="1"/>
      <protection locked="0"/>
    </xf>
    <xf numFmtId="0" fontId="26" fillId="2" borderId="5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0" fontId="26" fillId="0" borderId="1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right" vertical="center" wrapText="1"/>
      <protection locked="0"/>
    </xf>
    <xf numFmtId="0" fontId="26" fillId="0" borderId="10" xfId="0" applyFont="1" applyBorder="1" applyAlignment="1">
      <alignment horizontal="center" vertical="center" wrapText="1"/>
    </xf>
    <xf numFmtId="0" fontId="26" fillId="0" borderId="58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right" vertical="center" wrapText="1"/>
      <protection locked="0"/>
    </xf>
    <xf numFmtId="0" fontId="27" fillId="0" borderId="33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7" fillId="0" borderId="20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7" fillId="0" borderId="46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49" fontId="0" fillId="0" borderId="59" xfId="0" applyNumberFormat="1" applyBorder="1" applyAlignment="1">
      <alignment horizontal="center"/>
    </xf>
    <xf numFmtId="49" fontId="0" fillId="0" borderId="60" xfId="0" applyNumberFormat="1" applyBorder="1" applyAlignment="1">
      <alignment horizontal="center"/>
    </xf>
    <xf numFmtId="1" fontId="26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34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8" fillId="10" borderId="30" xfId="0" applyFont="1" applyFill="1" applyBorder="1" applyAlignment="1">
      <alignment horizontal="center" wrapText="1"/>
    </xf>
    <xf numFmtId="0" fontId="28" fillId="10" borderId="56" xfId="0" applyFont="1" applyFill="1" applyBorder="1" applyAlignment="1">
      <alignment horizontal="center" wrapText="1"/>
    </xf>
    <xf numFmtId="0" fontId="28" fillId="10" borderId="57" xfId="0" applyFont="1" applyFill="1" applyBorder="1" applyAlignment="1">
      <alignment horizontal="center" wrapText="1"/>
    </xf>
    <xf numFmtId="0" fontId="26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0" fontId="26" fillId="0" borderId="21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28" fillId="10" borderId="61" xfId="0" applyFont="1" applyFill="1" applyBorder="1" applyAlignment="1">
      <alignment horizontal="center" wrapText="1"/>
    </xf>
    <xf numFmtId="0" fontId="28" fillId="10" borderId="62" xfId="0" applyFont="1" applyFill="1" applyBorder="1" applyAlignment="1">
      <alignment horizontal="center" wrapText="1"/>
    </xf>
    <xf numFmtId="0" fontId="28" fillId="10" borderId="63" xfId="0" applyFont="1" applyFill="1" applyBorder="1" applyAlignment="1">
      <alignment horizontal="center" wrapText="1"/>
    </xf>
    <xf numFmtId="0" fontId="28" fillId="10" borderId="64" xfId="0" applyFont="1" applyFill="1" applyBorder="1" applyAlignment="1">
      <alignment horizontal="center" wrapText="1"/>
    </xf>
    <xf numFmtId="0" fontId="28" fillId="10" borderId="65" xfId="0" applyFont="1" applyFill="1" applyBorder="1" applyAlignment="1">
      <alignment horizontal="center" wrapText="1"/>
    </xf>
    <xf numFmtId="0" fontId="28" fillId="10" borderId="66" xfId="0" applyFont="1" applyFill="1" applyBorder="1" applyAlignment="1">
      <alignment horizontal="center" wrapText="1"/>
    </xf>
    <xf numFmtId="0" fontId="5" fillId="0" borderId="0" xfId="48" applyFont="1" applyFill="1" applyBorder="1" applyAlignment="1">
      <alignment horizontal="left" vertical="center"/>
      <protection/>
    </xf>
    <xf numFmtId="0" fontId="5" fillId="0" borderId="0" xfId="48" applyFont="1" applyFill="1" applyAlignment="1">
      <alignment horizontal="left"/>
      <protection/>
    </xf>
    <xf numFmtId="0" fontId="13" fillId="0" borderId="45" xfId="48" applyFont="1" applyFill="1" applyBorder="1" applyAlignment="1">
      <alignment horizontal="right" vertical="center"/>
      <protection/>
    </xf>
    <xf numFmtId="0" fontId="12" fillId="0" borderId="20" xfId="48" applyFont="1" applyFill="1" applyBorder="1" applyAlignment="1">
      <alignment horizontal="center" vertical="center" wrapText="1"/>
      <protection/>
    </xf>
    <xf numFmtId="0" fontId="12" fillId="0" borderId="35" xfId="48" applyFont="1" applyFill="1" applyBorder="1" applyAlignment="1">
      <alignment horizontal="center" vertical="center" wrapText="1"/>
      <protection/>
    </xf>
    <xf numFmtId="0" fontId="12" fillId="0" borderId="46" xfId="48" applyFont="1" applyFill="1" applyBorder="1" applyAlignment="1">
      <alignment horizontal="center" vertical="center" wrapText="1"/>
      <protection/>
    </xf>
    <xf numFmtId="0" fontId="12" fillId="0" borderId="27" xfId="48" applyFont="1" applyFill="1" applyBorder="1" applyAlignment="1">
      <alignment horizontal="center" vertical="center" wrapText="1"/>
      <protection/>
    </xf>
    <xf numFmtId="0" fontId="13" fillId="0" borderId="46" xfId="48" applyFont="1" applyFill="1" applyBorder="1" applyAlignment="1">
      <alignment horizontal="center" vertical="center" wrapText="1"/>
      <protection/>
    </xf>
    <xf numFmtId="0" fontId="13" fillId="0" borderId="27" xfId="48" applyFont="1" applyFill="1" applyBorder="1" applyAlignment="1">
      <alignment horizontal="center" vertical="center" wrapText="1"/>
      <protection/>
    </xf>
    <xf numFmtId="0" fontId="9" fillId="0" borderId="0" xfId="48" applyFont="1" applyFill="1" applyAlignment="1">
      <alignment horizontal="center"/>
      <protection/>
    </xf>
    <xf numFmtId="0" fontId="10" fillId="0" borderId="0" xfId="48" applyFont="1" applyFill="1" applyBorder="1" applyAlignment="1">
      <alignment horizontal="center" vertical="center" wrapText="1"/>
      <protection/>
    </xf>
    <xf numFmtId="0" fontId="14" fillId="0" borderId="46" xfId="48" applyFont="1" applyFill="1" applyBorder="1" applyAlignment="1">
      <alignment horizontal="center" vertical="center" wrapText="1"/>
      <protection/>
    </xf>
    <xf numFmtId="0" fontId="14" fillId="0" borderId="27" xfId="48" applyFont="1" applyFill="1" applyBorder="1" applyAlignment="1">
      <alignment horizontal="center" vertical="center" wrapText="1"/>
      <protection/>
    </xf>
    <xf numFmtId="0" fontId="10" fillId="0" borderId="0" xfId="48" applyFont="1" applyFill="1" applyAlignment="1">
      <alignment horizontal="left" wrapText="1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5" xfId="54"/>
    <cellStyle name="Обычный 2 2" xfId="55"/>
    <cellStyle name="Обычный 2_Аналіз старих тарифів на коміссію27_10_1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&#1052;&#1077;&#1088;&#1077;&#1078;&#1077;&#1074;&#1072;%20&#1087;&#1072;&#1087;&#1082;&#1072;\&#1055;&#1086;&#1089;&#1083;&#1091;&#1075;&#1072;%20&#1062;&#1054;%20&#1090;&#1072;%20&#1043;&#1042;&#1057;\&#1045;&#1090;&#1072;&#1083;&#1086;&#1085;%20869%20&#1076;&#1083;&#1103;%20&#1087;&#1086;&#1075;&#1086;&#1076;&#1078;&#1077;&#1085;&#1085;&#1103;%20&#1028;.&#1042;\&#1069;&#1090;&#1072;&#1083;&#1086;&#1085;%20869%2029.05%20&#1085;&#1077;%20&#1076;&#1083;&#1103;%20&#1074;&#1110;&#1076;&#1087;&#1088;&#1072;&#1074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!&#1052;&#1077;&#1088;&#1077;&#1078;&#1077;&#1074;&#1072;%20&#1087;&#1072;&#1087;&#1082;&#1072;\&#1055;&#1086;&#1089;&#1083;&#1091;&#1075;&#1072;%20&#1062;&#1054;%20&#1090;&#1072;%20&#1043;&#1042;&#1057;\&#1045;&#1090;&#1072;&#1083;&#1086;&#1085;%20869%20&#1076;&#1083;&#1103;%20&#1087;&#1086;&#1075;&#1086;&#1076;&#1078;&#1077;&#1085;&#1085;&#1103;%20&#1028;.&#1042;\&#1088;&#1086;&#1079;&#1088;&#1072;&#1093;&#1091;&#1085;&#1086;&#1082;%20&#1110;&#1085;&#1096;&#1080;&#1093;%20&#1074;&#1080;&#1090;&#1088;&#1072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57;&#1090;&#1088;&#1091;&#1082;&#1090;&#1091;&#1088;&#1072;_%20&#1050;&#1084;&#1082;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2 тарифи 869 пост за табл 7.1"/>
      <sheetName val="д.3 розр за табл 2.3-2.6"/>
      <sheetName val="д.4 за табл 2.1"/>
      <sheetName val="Лист1"/>
      <sheetName val="ГВП"/>
      <sheetName val="собіварт"/>
      <sheetName val="Структура послуги аналіз"/>
      <sheetName val="Додаток4"/>
      <sheetName val="Лист2"/>
    </sheetNames>
    <sheetDataSet>
      <sheetData sheetId="7">
        <row r="1">
          <cell r="E1" t="str">
            <v>Додаток 4</v>
          </cell>
        </row>
        <row r="4">
          <cell r="E4" t="str">
            <v>_________________№______</v>
          </cell>
        </row>
        <row r="8">
          <cell r="F8" t="str">
            <v>Без ПДВ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"/>
      <sheetName val="Додаток1 скор"/>
      <sheetName val="Додаток2"/>
      <sheetName val="Додаток2 скор"/>
      <sheetName val="Додаток3"/>
      <sheetName val="Додаток3 скор"/>
      <sheetName val="Додаток4"/>
      <sheetName val="Додаток4 скор"/>
      <sheetName val="Двоставк"/>
      <sheetName val="Додаток5"/>
      <sheetName val="Додаток 5"/>
      <sheetName val="Лист1"/>
    </sheetNames>
    <sheetDataSet>
      <sheetData sheetId="0">
        <row r="2">
          <cell r="G2" t="str">
            <v>до постанови Національної комісії, що здійснює</v>
          </cell>
        </row>
        <row r="3">
          <cell r="G3" t="str">
            <v>державне регулювання у сфері комунальних послуг </v>
          </cell>
        </row>
      </sheetData>
      <sheetData sheetId="3">
        <row r="56">
          <cell r="M56">
            <v>33001.03</v>
          </cell>
          <cell r="R56">
            <v>6249.76</v>
          </cell>
        </row>
      </sheetData>
      <sheetData sheetId="4">
        <row r="42">
          <cell r="B42" t="str">
            <v>резервний фонд (капітал) та дивіденди </v>
          </cell>
        </row>
      </sheetData>
      <sheetData sheetId="7">
        <row r="14">
          <cell r="O14">
            <v>0</v>
          </cell>
          <cell r="T14">
            <v>0</v>
          </cell>
        </row>
        <row r="15">
          <cell r="O15">
            <v>30.6</v>
          </cell>
          <cell r="T15">
            <v>5.8</v>
          </cell>
        </row>
        <row r="16">
          <cell r="O16">
            <v>11.47</v>
          </cell>
          <cell r="T16">
            <v>2.18</v>
          </cell>
        </row>
        <row r="17">
          <cell r="O17">
            <v>11.34</v>
          </cell>
          <cell r="T17">
            <v>2.15</v>
          </cell>
        </row>
        <row r="18">
          <cell r="O18">
            <v>0</v>
          </cell>
          <cell r="T18">
            <v>0</v>
          </cell>
        </row>
        <row r="19">
          <cell r="O19">
            <v>0.13</v>
          </cell>
          <cell r="T19">
            <v>0.03</v>
          </cell>
        </row>
        <row r="21">
          <cell r="O21">
            <v>0.34</v>
          </cell>
          <cell r="T21">
            <v>0.06</v>
          </cell>
        </row>
        <row r="22">
          <cell r="O22">
            <v>0.13</v>
          </cell>
          <cell r="T22">
            <v>0.02</v>
          </cell>
        </row>
        <row r="23">
          <cell r="O23">
            <v>0.01</v>
          </cell>
          <cell r="T23">
            <v>0</v>
          </cell>
        </row>
        <row r="25">
          <cell r="O25">
            <v>0.6</v>
          </cell>
          <cell r="T25">
            <v>0.11</v>
          </cell>
        </row>
        <row r="26">
          <cell r="O26">
            <v>0.22</v>
          </cell>
          <cell r="T26">
            <v>0.04</v>
          </cell>
        </row>
        <row r="27">
          <cell r="O27">
            <v>0.13</v>
          </cell>
          <cell r="T27">
            <v>0.02</v>
          </cell>
        </row>
        <row r="32">
          <cell r="O32">
            <v>0</v>
          </cell>
          <cell r="T32">
            <v>0</v>
          </cell>
        </row>
        <row r="33">
          <cell r="O33">
            <v>0</v>
          </cell>
          <cell r="T33">
            <v>0</v>
          </cell>
        </row>
        <row r="39">
          <cell r="O39">
            <v>8.28847078258636</v>
          </cell>
          <cell r="T39">
            <v>1.2330330365545317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"/>
      <sheetName val="Додаток1 скор"/>
      <sheetName val="Додаток2"/>
      <sheetName val="Додаток2 скор"/>
      <sheetName val="Додаток3"/>
      <sheetName val="Додаток3 скор"/>
      <sheetName val="Додаток4"/>
      <sheetName val="Додаток4 скор"/>
      <sheetName val="Двоставк"/>
      <sheetName val="Додаток5"/>
      <sheetName val="Додаток 5"/>
    </sheetNames>
    <sheetDataSet>
      <sheetData sheetId="0">
        <row r="2">
          <cell r="F2" t="str">
            <v>до постанови Національної комісії, що здійснює</v>
          </cell>
        </row>
        <row r="3">
          <cell r="F3" t="str">
            <v>державне регулювання у сфері комунальних послуг </v>
          </cell>
        </row>
        <row r="7">
          <cell r="A7" t="str">
            <v>КУЗНЄЦОВСЬКОГО МІСЬКОГО КОМУНАЛЬНОГО ПІДПРИЄМСТВА</v>
          </cell>
        </row>
      </sheetData>
      <sheetData sheetId="4">
        <row r="42">
          <cell r="B42" t="str">
            <v>резервний фонд (капітал) та дивіденди </v>
          </cell>
        </row>
      </sheetData>
      <sheetData sheetId="7">
        <row r="12">
          <cell r="O12">
            <v>0.006569468975990443</v>
          </cell>
          <cell r="T12">
            <v>0.010425486004398259</v>
          </cell>
        </row>
        <row r="13">
          <cell r="O13">
            <v>2.855371514308422</v>
          </cell>
          <cell r="T13">
            <v>4.53136103824767</v>
          </cell>
        </row>
        <row r="14">
          <cell r="O14">
            <v>1.0823295030273907</v>
          </cell>
          <cell r="T14">
            <v>1.7176138782599528</v>
          </cell>
        </row>
        <row r="15">
          <cell r="O15">
            <v>1.049920122745838</v>
          </cell>
          <cell r="T15">
            <v>1.6661814806382547</v>
          </cell>
        </row>
        <row r="16">
          <cell r="O16">
            <v>0</v>
          </cell>
          <cell r="T16">
            <v>0</v>
          </cell>
        </row>
        <row r="17">
          <cell r="O17">
            <v>0.03240938028155285</v>
          </cell>
          <cell r="T17">
            <v>0.05143239762169808</v>
          </cell>
        </row>
        <row r="19">
          <cell r="J19">
            <v>0</v>
          </cell>
          <cell r="O19">
            <v>0</v>
          </cell>
          <cell r="T19">
            <v>0</v>
          </cell>
        </row>
        <row r="20">
          <cell r="J20">
            <v>0</v>
          </cell>
          <cell r="O20">
            <v>0</v>
          </cell>
          <cell r="T20">
            <v>0</v>
          </cell>
        </row>
        <row r="21">
          <cell r="J21">
            <v>0</v>
          </cell>
          <cell r="O21">
            <v>0</v>
          </cell>
          <cell r="T21">
            <v>0</v>
          </cell>
        </row>
        <row r="23">
          <cell r="O23">
            <v>0.13320128697516517</v>
          </cell>
          <cell r="T23">
            <v>0.21138514516206472</v>
          </cell>
        </row>
        <row r="24">
          <cell r="O24">
            <v>0.048978113039201285</v>
          </cell>
          <cell r="T24">
            <v>0.07772631758795168</v>
          </cell>
        </row>
        <row r="25">
          <cell r="O25">
            <v>0.07042106175845007</v>
          </cell>
          <cell r="T25">
            <v>0.11175542444309958</v>
          </cell>
        </row>
        <row r="30">
          <cell r="J30">
            <v>0</v>
          </cell>
          <cell r="O30">
            <v>0</v>
          </cell>
          <cell r="T30">
            <v>0</v>
          </cell>
        </row>
        <row r="31">
          <cell r="J31">
            <v>0</v>
          </cell>
          <cell r="O31">
            <v>0</v>
          </cell>
          <cell r="T31">
            <v>0</v>
          </cell>
        </row>
        <row r="34">
          <cell r="J34">
            <v>0</v>
          </cell>
          <cell r="O34">
            <v>0</v>
          </cell>
          <cell r="T34">
            <v>0</v>
          </cell>
        </row>
        <row r="35">
          <cell r="J35">
            <v>0</v>
          </cell>
          <cell r="O35">
            <v>0</v>
          </cell>
          <cell r="T35">
            <v>0</v>
          </cell>
        </row>
        <row r="36">
          <cell r="J36">
            <v>0</v>
          </cell>
          <cell r="O36">
            <v>0</v>
          </cell>
          <cell r="T36">
            <v>0</v>
          </cell>
        </row>
        <row r="37">
          <cell r="J37">
            <v>0</v>
          </cell>
          <cell r="O37">
            <v>0</v>
          </cell>
          <cell r="T37">
            <v>0</v>
          </cell>
        </row>
        <row r="38">
          <cell r="J38">
            <v>0</v>
          </cell>
          <cell r="O38">
            <v>0</v>
          </cell>
          <cell r="T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70" zoomScaleNormal="75" zoomScaleSheetLayoutView="70" zoomScalePageLayoutView="0" workbookViewId="0" topLeftCell="A1">
      <pane xSplit="2" ySplit="9" topLeftCell="C2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E45"/>
    </sheetView>
  </sheetViews>
  <sheetFormatPr defaultColWidth="9.140625" defaultRowHeight="15"/>
  <cols>
    <col min="1" max="1" width="9.140625" style="1" customWidth="1"/>
    <col min="2" max="2" width="52.421875" style="2" customWidth="1"/>
    <col min="3" max="3" width="16.28125" style="1" customWidth="1"/>
    <col min="4" max="4" width="18.7109375" style="1" customWidth="1"/>
    <col min="5" max="5" width="20.421875" style="1" customWidth="1"/>
    <col min="6" max="7" width="12.140625" style="1" bestFit="1" customWidth="1"/>
    <col min="8" max="16384" width="9.140625" style="1" customWidth="1"/>
  </cols>
  <sheetData>
    <row r="1" spans="1:5" ht="15">
      <c r="A1" s="383"/>
      <c r="B1" s="384"/>
      <c r="C1" s="383"/>
      <c r="D1" s="383"/>
      <c r="E1" s="383"/>
    </row>
    <row r="2" spans="1:5" ht="15" customHeight="1">
      <c r="A2" s="516" t="s">
        <v>392</v>
      </c>
      <c r="B2" s="516"/>
      <c r="C2" s="383"/>
      <c r="D2" s="501" t="s">
        <v>392</v>
      </c>
      <c r="E2" s="501"/>
    </row>
    <row r="3" spans="1:5" ht="15">
      <c r="A3" s="516" t="s">
        <v>120</v>
      </c>
      <c r="B3" s="516"/>
      <c r="C3" s="383"/>
      <c r="D3" s="501" t="s">
        <v>122</v>
      </c>
      <c r="E3" s="501"/>
    </row>
    <row r="4" spans="1:5" ht="15.75" customHeight="1">
      <c r="A4" s="516" t="s">
        <v>121</v>
      </c>
      <c r="B4" s="516"/>
      <c r="C4" s="501" t="s">
        <v>126</v>
      </c>
      <c r="D4" s="501"/>
      <c r="E4" s="501"/>
    </row>
    <row r="5" spans="1:5" ht="15">
      <c r="A5" s="517" t="s">
        <v>118</v>
      </c>
      <c r="B5" s="517"/>
      <c r="C5" s="383"/>
      <c r="D5" s="517" t="s">
        <v>118</v>
      </c>
      <c r="E5" s="517"/>
    </row>
    <row r="6" spans="1:5" ht="68.25" customHeight="1" thickBot="1">
      <c r="A6" s="518" t="str">
        <f>"Інформація щодо обягів теплової енергії на потреби опалення та ГВП, опалювальної площі житлових будинків у розрізі поверхів, відповідних питомих норм на опалення житлових будинків та кліматологічних показників "&amp;Додаток4!A7&amp;""</f>
        <v>Інформація щодо обягів теплової енергії на потреби опалення та ГВП, опалювальної площі житлових будинків у розрізі поверхів, відповідних питомих норм на опалення житлових будинків та кліматологічних показників КУЗНЄЦОВСЬКОГО МІСЬКОГО КОМУНАЛЬНОГО ПІДПРИЄМСТВА</v>
      </c>
      <c r="B6" s="518"/>
      <c r="C6" s="518"/>
      <c r="D6" s="518"/>
      <c r="E6" s="518"/>
    </row>
    <row r="7" spans="1:5" ht="15">
      <c r="A7" s="511" t="s">
        <v>28</v>
      </c>
      <c r="B7" s="519" t="s">
        <v>0</v>
      </c>
      <c r="C7" s="521" t="s">
        <v>29</v>
      </c>
      <c r="D7" s="521" t="s">
        <v>27</v>
      </c>
      <c r="E7" s="522"/>
    </row>
    <row r="8" spans="1:7" ht="111.75" customHeight="1">
      <c r="A8" s="512"/>
      <c r="B8" s="520"/>
      <c r="C8" s="523"/>
      <c r="D8" s="192" t="s">
        <v>26</v>
      </c>
      <c r="E8" s="385" t="s">
        <v>117</v>
      </c>
      <c r="G8" s="1" t="s">
        <v>125</v>
      </c>
    </row>
    <row r="9" spans="1:5" ht="21" customHeight="1" thickBot="1">
      <c r="A9" s="386">
        <v>1</v>
      </c>
      <c r="B9" s="387">
        <v>2</v>
      </c>
      <c r="C9" s="388">
        <v>3</v>
      </c>
      <c r="D9" s="388">
        <v>4</v>
      </c>
      <c r="E9" s="389">
        <v>5</v>
      </c>
    </row>
    <row r="10" spans="1:7" ht="24.75" customHeight="1" thickBot="1">
      <c r="A10" s="390" t="s">
        <v>8</v>
      </c>
      <c r="B10" s="391" t="s">
        <v>4</v>
      </c>
      <c r="C10" s="392">
        <f>D10+E10</f>
        <v>13044</v>
      </c>
      <c r="D10" s="393">
        <v>3693</v>
      </c>
      <c r="E10" s="394">
        <v>9351</v>
      </c>
      <c r="G10" s="431"/>
    </row>
    <row r="11" spans="1:5" ht="60">
      <c r="A11" s="395" t="s">
        <v>9</v>
      </c>
      <c r="B11" s="396" t="s">
        <v>58</v>
      </c>
      <c r="C11" s="397">
        <f aca="true" t="shared" si="0" ref="C11:C18">D11+E11</f>
        <v>657542</v>
      </c>
      <c r="D11" s="398">
        <f>D12+D13+D14</f>
        <v>180647</v>
      </c>
      <c r="E11" s="399">
        <f>E12+E13+E14</f>
        <v>476895</v>
      </c>
    </row>
    <row r="12" spans="1:5" ht="15">
      <c r="A12" s="400" t="s">
        <v>10</v>
      </c>
      <c r="B12" s="401" t="s">
        <v>1</v>
      </c>
      <c r="C12" s="402">
        <f t="shared" si="0"/>
        <v>0</v>
      </c>
      <c r="D12" s="403"/>
      <c r="E12" s="404"/>
    </row>
    <row r="13" spans="1:5" ht="15">
      <c r="A13" s="400" t="s">
        <v>11</v>
      </c>
      <c r="B13" s="401" t="s">
        <v>2</v>
      </c>
      <c r="C13" s="402">
        <f t="shared" si="0"/>
        <v>0</v>
      </c>
      <c r="D13" s="403"/>
      <c r="E13" s="404"/>
    </row>
    <row r="14" spans="1:5" ht="15.75" thickBot="1">
      <c r="A14" s="405" t="s">
        <v>12</v>
      </c>
      <c r="B14" s="406" t="s">
        <v>3</v>
      </c>
      <c r="C14" s="407">
        <f t="shared" si="0"/>
        <v>657542</v>
      </c>
      <c r="D14" s="408">
        <v>180647</v>
      </c>
      <c r="E14" s="409">
        <v>476895</v>
      </c>
    </row>
    <row r="15" spans="1:5" ht="60">
      <c r="A15" s="395" t="s">
        <v>13</v>
      </c>
      <c r="B15" s="396" t="s">
        <v>31</v>
      </c>
      <c r="C15" s="397">
        <f t="shared" si="0"/>
        <v>117559.08513513513</v>
      </c>
      <c r="D15" s="398">
        <f>D16+D17+D18</f>
        <v>32878</v>
      </c>
      <c r="E15" s="410">
        <f>E19*E11</f>
        <v>84681.08513513513</v>
      </c>
    </row>
    <row r="16" spans="1:5" ht="15">
      <c r="A16" s="411" t="s">
        <v>14</v>
      </c>
      <c r="B16" s="401" t="s">
        <v>5</v>
      </c>
      <c r="C16" s="402">
        <f t="shared" si="0"/>
        <v>0</v>
      </c>
      <c r="D16" s="403"/>
      <c r="E16" s="412">
        <f>E20*E12</f>
        <v>0</v>
      </c>
    </row>
    <row r="17" spans="1:5" ht="15">
      <c r="A17" s="411" t="s">
        <v>15</v>
      </c>
      <c r="B17" s="401" t="s">
        <v>6</v>
      </c>
      <c r="C17" s="402">
        <f t="shared" si="0"/>
        <v>0</v>
      </c>
      <c r="D17" s="403"/>
      <c r="E17" s="412">
        <f>E21*E13</f>
        <v>0</v>
      </c>
    </row>
    <row r="18" spans="1:5" ht="15.75" thickBot="1">
      <c r="A18" s="386" t="s">
        <v>16</v>
      </c>
      <c r="B18" s="406" t="s">
        <v>7</v>
      </c>
      <c r="C18" s="407">
        <f t="shared" si="0"/>
        <v>117559.08513513513</v>
      </c>
      <c r="D18" s="408">
        <v>32878</v>
      </c>
      <c r="E18" s="413">
        <f>E22*E14</f>
        <v>84681.08513513513</v>
      </c>
    </row>
    <row r="19" spans="1:5" ht="42.75" customHeight="1">
      <c r="A19" s="395" t="s">
        <v>17</v>
      </c>
      <c r="B19" s="396" t="s">
        <v>59</v>
      </c>
      <c r="C19" s="414">
        <f aca="true" t="shared" si="1" ref="C19:D22">IF(C11=0,0,C15/C11)</f>
        <v>0.17878566712869312</v>
      </c>
      <c r="D19" s="414">
        <f t="shared" si="1"/>
        <v>0.1820013617718534</v>
      </c>
      <c r="E19" s="415">
        <f>IF(E11=0,0,(E20*E12+E21*E13+E22*E14)/E11)</f>
        <v>0.17756756756756756</v>
      </c>
    </row>
    <row r="20" spans="1:5" ht="15">
      <c r="A20" s="411" t="s">
        <v>19</v>
      </c>
      <c r="B20" s="401" t="s">
        <v>22</v>
      </c>
      <c r="C20" s="416">
        <f t="shared" si="1"/>
        <v>0</v>
      </c>
      <c r="D20" s="416">
        <f t="shared" si="1"/>
        <v>0</v>
      </c>
      <c r="E20" s="417">
        <f>0.385*(22-C27)/(18-C27)</f>
        <v>0.46824324324324323</v>
      </c>
    </row>
    <row r="21" spans="1:5" ht="15">
      <c r="A21" s="411" t="s">
        <v>20</v>
      </c>
      <c r="B21" s="401" t="s">
        <v>23</v>
      </c>
      <c r="C21" s="416">
        <f t="shared" si="1"/>
        <v>0</v>
      </c>
      <c r="D21" s="416">
        <f t="shared" si="1"/>
        <v>0</v>
      </c>
      <c r="E21" s="417">
        <f>0.221*(22-C27)/(18-C27)</f>
        <v>0.2687837837837838</v>
      </c>
    </row>
    <row r="22" spans="1:5" ht="15.75" thickBot="1">
      <c r="A22" s="386" t="s">
        <v>21</v>
      </c>
      <c r="B22" s="406" t="s">
        <v>24</v>
      </c>
      <c r="C22" s="418">
        <f t="shared" si="1"/>
        <v>0.17878566712869312</v>
      </c>
      <c r="D22" s="418">
        <f t="shared" si="1"/>
        <v>0.1820013617718534</v>
      </c>
      <c r="E22" s="417">
        <f>0.146*(22-C27)/(18-C27)</f>
        <v>0.17756756756756756</v>
      </c>
    </row>
    <row r="23" spans="1:5" ht="59.25" customHeight="1">
      <c r="A23" s="395" t="s">
        <v>18</v>
      </c>
      <c r="B23" s="396" t="s">
        <v>278</v>
      </c>
      <c r="C23" s="397">
        <f>D23+E23</f>
        <v>0</v>
      </c>
      <c r="D23" s="419"/>
      <c r="E23" s="420"/>
    </row>
    <row r="24" spans="1:5" ht="15.75" thickBot="1">
      <c r="A24" s="386" t="s">
        <v>25</v>
      </c>
      <c r="B24" s="406" t="s">
        <v>36</v>
      </c>
      <c r="C24" s="421">
        <f>C23+C15</f>
        <v>117559.08513513513</v>
      </c>
      <c r="D24" s="421">
        <f>D23+D15</f>
        <v>32878</v>
      </c>
      <c r="E24" s="422">
        <f>E23+E15</f>
        <v>84681.08513513513</v>
      </c>
    </row>
    <row r="25" spans="1:5" ht="30">
      <c r="A25" s="395" t="s">
        <v>32</v>
      </c>
      <c r="B25" s="396" t="s">
        <v>30</v>
      </c>
      <c r="C25" s="498" t="s">
        <v>35</v>
      </c>
      <c r="D25" s="499"/>
      <c r="E25" s="500"/>
    </row>
    <row r="26" spans="1:6" ht="15">
      <c r="A26" s="400" t="s">
        <v>48</v>
      </c>
      <c r="B26" s="401" t="s">
        <v>60</v>
      </c>
      <c r="C26" s="508">
        <v>191</v>
      </c>
      <c r="D26" s="509"/>
      <c r="E26" s="510"/>
      <c r="F26" s="360"/>
    </row>
    <row r="27" spans="1:6" ht="30">
      <c r="A27" s="400" t="s">
        <v>49</v>
      </c>
      <c r="B27" s="401" t="s">
        <v>279</v>
      </c>
      <c r="C27" s="492">
        <v>-0.5</v>
      </c>
      <c r="D27" s="493"/>
      <c r="E27" s="494"/>
      <c r="F27" s="360"/>
    </row>
    <row r="28" spans="1:6" ht="30.75" thickBot="1">
      <c r="A28" s="400" t="s">
        <v>50</v>
      </c>
      <c r="B28" s="423" t="s">
        <v>280</v>
      </c>
      <c r="C28" s="495">
        <v>-21</v>
      </c>
      <c r="D28" s="496"/>
      <c r="E28" s="497"/>
      <c r="F28" s="361"/>
    </row>
    <row r="29" spans="1:7" ht="15">
      <c r="A29" s="395" t="s">
        <v>33</v>
      </c>
      <c r="B29" s="396" t="s">
        <v>37</v>
      </c>
      <c r="C29" s="498" t="s">
        <v>35</v>
      </c>
      <c r="D29" s="499"/>
      <c r="E29" s="500"/>
      <c r="F29" s="199">
        <f>F26/C30*(18-F27)/(18-C31)</f>
        <v>0</v>
      </c>
      <c r="G29" s="201"/>
    </row>
    <row r="30" spans="1:5" ht="15">
      <c r="A30" s="411" t="s">
        <v>51</v>
      </c>
      <c r="B30" s="401" t="s">
        <v>60</v>
      </c>
      <c r="C30" s="508">
        <v>191</v>
      </c>
      <c r="D30" s="509"/>
      <c r="E30" s="510"/>
    </row>
    <row r="31" spans="1:6" ht="30">
      <c r="A31" s="411" t="s">
        <v>52</v>
      </c>
      <c r="B31" s="401" t="s">
        <v>279</v>
      </c>
      <c r="C31" s="492">
        <v>-0.5</v>
      </c>
      <c r="D31" s="493"/>
      <c r="E31" s="494"/>
      <c r="F31" s="199">
        <v>1</v>
      </c>
    </row>
    <row r="32" spans="1:5" ht="30.75" thickBot="1">
      <c r="A32" s="411" t="s">
        <v>53</v>
      </c>
      <c r="B32" s="423" t="s">
        <v>280</v>
      </c>
      <c r="C32" s="495">
        <v>-21</v>
      </c>
      <c r="D32" s="496"/>
      <c r="E32" s="497"/>
    </row>
    <row r="33" spans="1:6" ht="30">
      <c r="A33" s="395" t="s">
        <v>34</v>
      </c>
      <c r="B33" s="396" t="s">
        <v>54</v>
      </c>
      <c r="C33" s="498" t="s">
        <v>35</v>
      </c>
      <c r="D33" s="499"/>
      <c r="E33" s="500"/>
      <c r="F33" s="199">
        <f>C34/C30*(18-C35)/(18-C31)</f>
        <v>0.9271543795104005</v>
      </c>
    </row>
    <row r="34" spans="1:5" ht="15">
      <c r="A34" s="400" t="s">
        <v>55</v>
      </c>
      <c r="B34" s="401" t="s">
        <v>60</v>
      </c>
      <c r="C34" s="508">
        <v>181</v>
      </c>
      <c r="D34" s="509"/>
      <c r="E34" s="510"/>
    </row>
    <row r="35" spans="1:5" ht="30">
      <c r="A35" s="400" t="s">
        <v>56</v>
      </c>
      <c r="B35" s="401" t="s">
        <v>279</v>
      </c>
      <c r="C35" s="492">
        <v>-0.1</v>
      </c>
      <c r="D35" s="493"/>
      <c r="E35" s="494"/>
    </row>
    <row r="36" spans="1:5" ht="30.75" thickBot="1">
      <c r="A36" s="405" t="s">
        <v>57</v>
      </c>
      <c r="B36" s="423" t="s">
        <v>280</v>
      </c>
      <c r="C36" s="495">
        <v>-21</v>
      </c>
      <c r="D36" s="496"/>
      <c r="E36" s="497"/>
    </row>
    <row r="37" spans="1:5" ht="45">
      <c r="A37" s="395" t="s">
        <v>219</v>
      </c>
      <c r="B37" s="396" t="s">
        <v>388</v>
      </c>
      <c r="C37" s="498" t="s">
        <v>35</v>
      </c>
      <c r="D37" s="499"/>
      <c r="E37" s="500"/>
    </row>
    <row r="38" spans="1:5" ht="15">
      <c r="A38" s="400" t="s">
        <v>389</v>
      </c>
      <c r="B38" s="401" t="s">
        <v>60</v>
      </c>
      <c r="C38" s="502">
        <f>IF($F$31=1,C30,IF($F$31=$F$33,C34,IF($F$31=$F$29,F26,"")))</f>
        <v>191</v>
      </c>
      <c r="D38" s="503"/>
      <c r="E38" s="504"/>
    </row>
    <row r="39" spans="1:5" ht="30">
      <c r="A39" s="400" t="s">
        <v>390</v>
      </c>
      <c r="B39" s="401" t="s">
        <v>279</v>
      </c>
      <c r="C39" s="505">
        <f>IF($F$31=1,C31,IF($F$31=$F$33,C35,IF($F$31=$F$29,F27,"")))</f>
        <v>-0.5</v>
      </c>
      <c r="D39" s="506"/>
      <c r="E39" s="507"/>
    </row>
    <row r="40" spans="1:5" ht="30.75" thickBot="1">
      <c r="A40" s="405" t="s">
        <v>391</v>
      </c>
      <c r="B40" s="429" t="s">
        <v>280</v>
      </c>
      <c r="C40" s="513">
        <f>IF($F$31=1,C32,IF($F$31=$F$33,C36,IF($F$31=$F$29,F28,"")))</f>
        <v>-21</v>
      </c>
      <c r="D40" s="514"/>
      <c r="E40" s="515"/>
    </row>
    <row r="41" spans="1:5" ht="15">
      <c r="A41" s="383"/>
      <c r="B41" s="384"/>
      <c r="C41" s="383"/>
      <c r="D41" s="383"/>
      <c r="E41" s="383"/>
    </row>
    <row r="42" spans="1:5" ht="14.25" customHeight="1">
      <c r="A42" s="383"/>
      <c r="B42" s="384" t="s">
        <v>38</v>
      </c>
      <c r="C42" s="383" t="s">
        <v>39</v>
      </c>
      <c r="D42" s="491" t="s">
        <v>40</v>
      </c>
      <c r="E42" s="491"/>
    </row>
    <row r="43" spans="1:5" ht="14.25" customHeight="1">
      <c r="A43" s="383"/>
      <c r="B43" s="384"/>
      <c r="C43" s="383" t="s">
        <v>123</v>
      </c>
      <c r="D43" s="491" t="s">
        <v>41</v>
      </c>
      <c r="E43" s="491"/>
    </row>
    <row r="44" spans="1:5" ht="15">
      <c r="A44" s="383"/>
      <c r="B44" s="384" t="s">
        <v>43</v>
      </c>
      <c r="C44" s="383" t="s">
        <v>45</v>
      </c>
      <c r="D44" s="383" t="s">
        <v>46</v>
      </c>
      <c r="E44" s="383" t="s">
        <v>46</v>
      </c>
    </row>
    <row r="45" spans="1:5" ht="20.25" customHeight="1">
      <c r="A45" s="383"/>
      <c r="B45" s="384"/>
      <c r="C45" s="383" t="s">
        <v>44</v>
      </c>
      <c r="D45" s="383" t="s">
        <v>41</v>
      </c>
      <c r="E45" s="383" t="s">
        <v>47</v>
      </c>
    </row>
  </sheetData>
  <sheetProtection password="CC5D" sheet="1"/>
  <protectedRanges>
    <protectedRange sqref="D10:E10 D12:E14 D16:D18 D23:E23 F26:F28 F31 C34:E36 E20:E22" name="Диапазон1"/>
  </protectedRanges>
  <mergeCells count="31">
    <mergeCell ref="C31:E31"/>
    <mergeCell ref="D7:E7"/>
    <mergeCell ref="C25:E25"/>
    <mergeCell ref="C27:E27"/>
    <mergeCell ref="C7:C8"/>
    <mergeCell ref="B7:B8"/>
    <mergeCell ref="C28:E28"/>
    <mergeCell ref="C26:E26"/>
    <mergeCell ref="A5:B5"/>
    <mergeCell ref="C30:E30"/>
    <mergeCell ref="A4:B4"/>
    <mergeCell ref="C33:E33"/>
    <mergeCell ref="A7:A8"/>
    <mergeCell ref="C40:E40"/>
    <mergeCell ref="A2:B2"/>
    <mergeCell ref="D2:E2"/>
    <mergeCell ref="A3:B3"/>
    <mergeCell ref="D3:E3"/>
    <mergeCell ref="C32:E32"/>
    <mergeCell ref="D5:E5"/>
    <mergeCell ref="A6:E6"/>
    <mergeCell ref="D43:E43"/>
    <mergeCell ref="D42:E42"/>
    <mergeCell ref="C35:E35"/>
    <mergeCell ref="C36:E36"/>
    <mergeCell ref="C37:E37"/>
    <mergeCell ref="C4:E4"/>
    <mergeCell ref="C38:E38"/>
    <mergeCell ref="C39:E39"/>
    <mergeCell ref="C34:E34"/>
    <mergeCell ref="C29:E29"/>
  </mergeCells>
  <printOptions/>
  <pageMargins left="0.7086614173228347" right="0.7086614173228347" top="0.1" bottom="0.31496062992125984" header="0.07874015748031496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view="pageBreakPreview" zoomScale="60" zoomScaleNormal="69" zoomScalePageLayoutView="0" workbookViewId="0" topLeftCell="A1">
      <pane xSplit="2" ySplit="9" topLeftCell="C7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P94" sqref="P94"/>
    </sheetView>
  </sheetViews>
  <sheetFormatPr defaultColWidth="9.140625" defaultRowHeight="15"/>
  <cols>
    <col min="1" max="1" width="9.140625" style="1" customWidth="1"/>
    <col min="2" max="2" width="55.57421875" style="2" customWidth="1"/>
    <col min="3" max="3" width="16.28125" style="1" customWidth="1"/>
    <col min="4" max="4" width="18.7109375" style="1" customWidth="1"/>
    <col min="5" max="5" width="20.421875" style="1" customWidth="1"/>
    <col min="6" max="16384" width="9.140625" style="1" customWidth="1"/>
  </cols>
  <sheetData>
    <row r="1" spans="1:5" ht="15">
      <c r="A1" s="42"/>
      <c r="B1" s="43"/>
      <c r="C1" s="42"/>
      <c r="D1" s="42"/>
      <c r="E1" s="42"/>
    </row>
    <row r="2" spans="1:5" ht="15" customHeight="1">
      <c r="A2" s="547" t="s">
        <v>392</v>
      </c>
      <c r="B2" s="547"/>
      <c r="C2" s="42"/>
      <c r="D2" s="548" t="s">
        <v>392</v>
      </c>
      <c r="E2" s="548"/>
    </row>
    <row r="3" spans="1:5" ht="15">
      <c r="A3" s="547"/>
      <c r="B3" s="547"/>
      <c r="C3" s="42"/>
      <c r="D3" s="548"/>
      <c r="E3" s="548"/>
    </row>
    <row r="4" spans="1:5" ht="15.75" customHeight="1">
      <c r="A4" s="547" t="s">
        <v>121</v>
      </c>
      <c r="B4" s="547"/>
      <c r="C4" s="548" t="s">
        <v>126</v>
      </c>
      <c r="D4" s="548"/>
      <c r="E4" s="548"/>
    </row>
    <row r="5" spans="1:5" ht="15">
      <c r="A5" s="537" t="s">
        <v>118</v>
      </c>
      <c r="B5" s="537"/>
      <c r="C5" s="42"/>
      <c r="D5" s="537" t="s">
        <v>118</v>
      </c>
      <c r="E5" s="537"/>
    </row>
    <row r="6" spans="1:5" ht="58.5" customHeight="1" thickBot="1">
      <c r="A6" s="550" t="str">
        <f>"Інформація щодо обягів теплової енергії на потреби опалення та ГВП, опалювальної площі житлових будинків у розрізі поверхів, відповідних питомих норм на опалення житлових будинків та кліматологічних показників "&amp;Додаток4!A7&amp;""</f>
        <v>Інформація щодо обягів теплової енергії на потреби опалення та ГВП, опалювальної площі житлових будинків у розрізі поверхів, відповідних питомих норм на опалення житлових будинків та кліматологічних показників КУЗНЄЦОВСЬКОГО МІСЬКОГО КОМУНАЛЬНОГО ПІДПРИЄМСТВА</v>
      </c>
      <c r="B6" s="550"/>
      <c r="C6" s="550"/>
      <c r="D6" s="550"/>
      <c r="E6" s="550"/>
    </row>
    <row r="7" spans="1:5" ht="15">
      <c r="A7" s="540" t="s">
        <v>28</v>
      </c>
      <c r="B7" s="545" t="s">
        <v>0</v>
      </c>
      <c r="C7" s="538" t="s">
        <v>29</v>
      </c>
      <c r="D7" s="538" t="s">
        <v>27</v>
      </c>
      <c r="E7" s="539"/>
    </row>
    <row r="8" spans="1:5" ht="96" customHeight="1">
      <c r="A8" s="541"/>
      <c r="B8" s="546"/>
      <c r="C8" s="549"/>
      <c r="D8" s="5" t="s">
        <v>26</v>
      </c>
      <c r="E8" s="13" t="s">
        <v>117</v>
      </c>
    </row>
    <row r="9" spans="1:5" ht="21" customHeight="1" thickBot="1">
      <c r="A9" s="14">
        <v>1</v>
      </c>
      <c r="B9" s="15">
        <v>2</v>
      </c>
      <c r="C9" s="16">
        <v>3</v>
      </c>
      <c r="D9" s="16">
        <v>4</v>
      </c>
      <c r="E9" s="17">
        <v>5</v>
      </c>
    </row>
    <row r="10" spans="1:5" ht="24.75" customHeight="1" thickBot="1">
      <c r="A10" s="24" t="s">
        <v>8</v>
      </c>
      <c r="B10" s="25" t="s">
        <v>4</v>
      </c>
      <c r="C10" s="176">
        <f>D10+E10</f>
        <v>13044</v>
      </c>
      <c r="D10" s="177">
        <f>'д.2 тарифи 869 пост за табл 7.1'!D10</f>
        <v>3693</v>
      </c>
      <c r="E10" s="178">
        <f>'д.2 тарифи 869 пост за табл 7.1'!E10</f>
        <v>9351</v>
      </c>
    </row>
    <row r="11" spans="1:5" ht="60">
      <c r="A11" s="12" t="s">
        <v>9</v>
      </c>
      <c r="B11" s="6" t="s">
        <v>58</v>
      </c>
      <c r="C11" s="164">
        <f>D11+E11</f>
        <v>180647</v>
      </c>
      <c r="D11" s="165">
        <f>D12+D20+D28</f>
        <v>180647</v>
      </c>
      <c r="E11" s="166">
        <f>E12+E20+E28</f>
        <v>0</v>
      </c>
    </row>
    <row r="12" spans="1:5" ht="15">
      <c r="A12" s="8" t="s">
        <v>10</v>
      </c>
      <c r="B12" s="3" t="s">
        <v>82</v>
      </c>
      <c r="C12" s="162">
        <f>D12+E12</f>
        <v>0</v>
      </c>
      <c r="D12" s="179">
        <f>'д.2 тарифи 869 пост за табл 7.1'!D12</f>
        <v>0</v>
      </c>
      <c r="E12" s="180">
        <f>E13+E14+E15+E16+E17+E18+E19</f>
        <v>0</v>
      </c>
    </row>
    <row r="13" spans="1:5" ht="15.75">
      <c r="A13" s="8" t="s">
        <v>67</v>
      </c>
      <c r="B13" s="3" t="s">
        <v>61</v>
      </c>
      <c r="C13" s="162" t="s">
        <v>35</v>
      </c>
      <c r="D13" s="162" t="s">
        <v>35</v>
      </c>
      <c r="E13" s="163"/>
    </row>
    <row r="14" spans="1:5" ht="15.75">
      <c r="A14" s="8" t="s">
        <v>68</v>
      </c>
      <c r="B14" s="3" t="s">
        <v>62</v>
      </c>
      <c r="C14" s="162" t="s">
        <v>35</v>
      </c>
      <c r="D14" s="162" t="s">
        <v>35</v>
      </c>
      <c r="E14" s="163"/>
    </row>
    <row r="15" spans="1:5" ht="15.75">
      <c r="A15" s="8" t="s">
        <v>69</v>
      </c>
      <c r="B15" s="3" t="s">
        <v>63</v>
      </c>
      <c r="C15" s="162" t="s">
        <v>35</v>
      </c>
      <c r="D15" s="162" t="s">
        <v>35</v>
      </c>
      <c r="E15" s="163"/>
    </row>
    <row r="16" spans="1:5" ht="15.75">
      <c r="A16" s="8" t="s">
        <v>70</v>
      </c>
      <c r="B16" s="3" t="s">
        <v>64</v>
      </c>
      <c r="C16" s="162" t="s">
        <v>35</v>
      </c>
      <c r="D16" s="162" t="s">
        <v>35</v>
      </c>
      <c r="E16" s="163"/>
    </row>
    <row r="17" spans="1:5" ht="15.75">
      <c r="A17" s="8" t="s">
        <v>71</v>
      </c>
      <c r="B17" s="3" t="s">
        <v>65</v>
      </c>
      <c r="C17" s="162" t="s">
        <v>35</v>
      </c>
      <c r="D17" s="162" t="s">
        <v>35</v>
      </c>
      <c r="E17" s="163"/>
    </row>
    <row r="18" spans="1:5" ht="15.75">
      <c r="A18" s="8" t="s">
        <v>72</v>
      </c>
      <c r="B18" s="3" t="s">
        <v>127</v>
      </c>
      <c r="C18" s="162" t="s">
        <v>35</v>
      </c>
      <c r="D18" s="162" t="s">
        <v>35</v>
      </c>
      <c r="E18" s="163"/>
    </row>
    <row r="19" spans="1:5" ht="15.75">
      <c r="A19" s="8" t="s">
        <v>73</v>
      </c>
      <c r="B19" s="3" t="s">
        <v>66</v>
      </c>
      <c r="C19" s="162" t="s">
        <v>35</v>
      </c>
      <c r="D19" s="162" t="s">
        <v>35</v>
      </c>
      <c r="E19" s="163"/>
    </row>
    <row r="20" spans="1:5" ht="15">
      <c r="A20" s="8" t="s">
        <v>11</v>
      </c>
      <c r="B20" s="3" t="s">
        <v>81</v>
      </c>
      <c r="C20" s="162">
        <f>D20+E20</f>
        <v>0</v>
      </c>
      <c r="D20" s="179">
        <f>'д.2 тарифи 869 пост за табл 7.1'!D13</f>
        <v>0</v>
      </c>
      <c r="E20" s="180">
        <f>E21+E22+E23+E24+E25+E26+E27</f>
        <v>0</v>
      </c>
    </row>
    <row r="21" spans="1:5" ht="15.75">
      <c r="A21" s="8" t="s">
        <v>74</v>
      </c>
      <c r="B21" s="3" t="s">
        <v>61</v>
      </c>
      <c r="C21" s="162" t="s">
        <v>35</v>
      </c>
      <c r="D21" s="162" t="s">
        <v>35</v>
      </c>
      <c r="E21" s="163"/>
    </row>
    <row r="22" spans="1:5" ht="15.75">
      <c r="A22" s="8" t="s">
        <v>75</v>
      </c>
      <c r="B22" s="3" t="s">
        <v>62</v>
      </c>
      <c r="C22" s="162" t="s">
        <v>35</v>
      </c>
      <c r="D22" s="162" t="s">
        <v>35</v>
      </c>
      <c r="E22" s="163"/>
    </row>
    <row r="23" spans="1:5" ht="15.75">
      <c r="A23" s="8" t="s">
        <v>76</v>
      </c>
      <c r="B23" s="3" t="s">
        <v>63</v>
      </c>
      <c r="C23" s="162" t="s">
        <v>35</v>
      </c>
      <c r="D23" s="162" t="s">
        <v>35</v>
      </c>
      <c r="E23" s="163"/>
    </row>
    <row r="24" spans="1:5" ht="15.75">
      <c r="A24" s="8" t="s">
        <v>77</v>
      </c>
      <c r="B24" s="3" t="s">
        <v>64</v>
      </c>
      <c r="C24" s="162" t="s">
        <v>35</v>
      </c>
      <c r="D24" s="162" t="s">
        <v>35</v>
      </c>
      <c r="E24" s="163"/>
    </row>
    <row r="25" spans="1:5" ht="15.75">
      <c r="A25" s="8" t="s">
        <v>78</v>
      </c>
      <c r="B25" s="3" t="s">
        <v>65</v>
      </c>
      <c r="C25" s="162" t="s">
        <v>35</v>
      </c>
      <c r="D25" s="162" t="s">
        <v>35</v>
      </c>
      <c r="E25" s="163"/>
    </row>
    <row r="26" spans="1:5" ht="15.75">
      <c r="A26" s="8" t="s">
        <v>79</v>
      </c>
      <c r="B26" s="3" t="s">
        <v>127</v>
      </c>
      <c r="C26" s="162" t="s">
        <v>35</v>
      </c>
      <c r="D26" s="162" t="s">
        <v>35</v>
      </c>
      <c r="E26" s="163"/>
    </row>
    <row r="27" spans="1:5" ht="15.75">
      <c r="A27" s="8" t="s">
        <v>80</v>
      </c>
      <c r="B27" s="3" t="s">
        <v>66</v>
      </c>
      <c r="C27" s="162" t="s">
        <v>35</v>
      </c>
      <c r="D27" s="162" t="s">
        <v>35</v>
      </c>
      <c r="E27" s="163"/>
    </row>
    <row r="28" spans="1:5" ht="15">
      <c r="A28" s="8" t="s">
        <v>12</v>
      </c>
      <c r="B28" s="3" t="s">
        <v>90</v>
      </c>
      <c r="C28" s="162">
        <f>D28+E28</f>
        <v>180647</v>
      </c>
      <c r="D28" s="179">
        <f>'д.2 тарифи 869 пост за табл 7.1'!D14</f>
        <v>180647</v>
      </c>
      <c r="E28" s="180">
        <f>E29+E30+E31+E32+E33+E34+E35</f>
        <v>0</v>
      </c>
    </row>
    <row r="29" spans="1:5" ht="15.75">
      <c r="A29" s="8" t="s">
        <v>83</v>
      </c>
      <c r="B29" s="3" t="s">
        <v>61</v>
      </c>
      <c r="C29" s="162" t="s">
        <v>35</v>
      </c>
      <c r="D29" s="162" t="s">
        <v>35</v>
      </c>
      <c r="E29" s="163"/>
    </row>
    <row r="30" spans="1:5" ht="15.75">
      <c r="A30" s="8" t="s">
        <v>84</v>
      </c>
      <c r="B30" s="3" t="s">
        <v>62</v>
      </c>
      <c r="C30" s="162" t="s">
        <v>35</v>
      </c>
      <c r="D30" s="162" t="s">
        <v>35</v>
      </c>
      <c r="E30" s="163"/>
    </row>
    <row r="31" spans="1:5" ht="15.75">
      <c r="A31" s="8" t="s">
        <v>85</v>
      </c>
      <c r="B31" s="3" t="s">
        <v>63</v>
      </c>
      <c r="C31" s="162" t="s">
        <v>35</v>
      </c>
      <c r="D31" s="162" t="s">
        <v>35</v>
      </c>
      <c r="E31" s="163"/>
    </row>
    <row r="32" spans="1:5" ht="15.75">
      <c r="A32" s="8" t="s">
        <v>86</v>
      </c>
      <c r="B32" s="3" t="s">
        <v>64</v>
      </c>
      <c r="C32" s="162" t="s">
        <v>35</v>
      </c>
      <c r="D32" s="162" t="s">
        <v>35</v>
      </c>
      <c r="E32" s="163"/>
    </row>
    <row r="33" spans="1:5" ht="15.75">
      <c r="A33" s="8" t="s">
        <v>87</v>
      </c>
      <c r="B33" s="3" t="s">
        <v>65</v>
      </c>
      <c r="C33" s="162" t="s">
        <v>35</v>
      </c>
      <c r="D33" s="162" t="s">
        <v>35</v>
      </c>
      <c r="E33" s="163"/>
    </row>
    <row r="34" spans="1:5" ht="15.75">
      <c r="A34" s="8" t="s">
        <v>88</v>
      </c>
      <c r="B34" s="3" t="s">
        <v>127</v>
      </c>
      <c r="C34" s="162" t="s">
        <v>35</v>
      </c>
      <c r="D34" s="162" t="s">
        <v>35</v>
      </c>
      <c r="E34" s="163"/>
    </row>
    <row r="35" spans="1:5" ht="16.5" thickBot="1">
      <c r="A35" s="21" t="s">
        <v>89</v>
      </c>
      <c r="B35" s="22" t="s">
        <v>66</v>
      </c>
      <c r="C35" s="181" t="s">
        <v>35</v>
      </c>
      <c r="D35" s="181" t="s">
        <v>35</v>
      </c>
      <c r="E35" s="182"/>
    </row>
    <row r="36" spans="1:5" ht="56.25" customHeight="1">
      <c r="A36" s="12" t="s">
        <v>13</v>
      </c>
      <c r="B36" s="6" t="s">
        <v>31</v>
      </c>
      <c r="C36" s="164">
        <f>D36+E36</f>
        <v>32878</v>
      </c>
      <c r="D36" s="165">
        <f>D37+D38+D39</f>
        <v>32878</v>
      </c>
      <c r="E36" s="167">
        <f>E40*E11</f>
        <v>0</v>
      </c>
    </row>
    <row r="37" spans="1:5" ht="15">
      <c r="A37" s="18" t="s">
        <v>14</v>
      </c>
      <c r="B37" s="3" t="s">
        <v>5</v>
      </c>
      <c r="C37" s="162">
        <f>D37+E37</f>
        <v>0</v>
      </c>
      <c r="D37" s="179">
        <f>'д.2 тарифи 869 пост за табл 7.1'!D16</f>
        <v>0</v>
      </c>
      <c r="E37" s="168">
        <f>SUMPRODUCT(E13:E19,E42:E48)</f>
        <v>0</v>
      </c>
    </row>
    <row r="38" spans="1:5" ht="15">
      <c r="A38" s="18" t="s">
        <v>15</v>
      </c>
      <c r="B38" s="3" t="s">
        <v>6</v>
      </c>
      <c r="C38" s="162">
        <f>D38+E38</f>
        <v>0</v>
      </c>
      <c r="D38" s="179">
        <f>'д.2 тарифи 869 пост за табл 7.1'!D17</f>
        <v>0</v>
      </c>
      <c r="E38" s="168">
        <f>SUMPRODUCT(E21:E27,E50:E56)</f>
        <v>0</v>
      </c>
    </row>
    <row r="39" spans="1:5" ht="15.75" thickBot="1">
      <c r="A39" s="26" t="s">
        <v>16</v>
      </c>
      <c r="B39" s="22" t="s">
        <v>7</v>
      </c>
      <c r="C39" s="181">
        <f>D39+E39</f>
        <v>32878</v>
      </c>
      <c r="D39" s="183">
        <f>'д.2 тарифи 869 пост за табл 7.1'!D18</f>
        <v>32878</v>
      </c>
      <c r="E39" s="168">
        <f>SUMPRODUCT(E29:E35,E58:E64)</f>
        <v>0</v>
      </c>
    </row>
    <row r="40" spans="1:5" ht="33" customHeight="1">
      <c r="A40" s="12" t="s">
        <v>17</v>
      </c>
      <c r="B40" s="6" t="s">
        <v>59</v>
      </c>
      <c r="C40" s="169">
        <f>IF(C11=0,0,C36/C11)</f>
        <v>0.1820013617718534</v>
      </c>
      <c r="D40" s="169">
        <f>IF(D11=0,0,D36/D11)</f>
        <v>0.1820013617718534</v>
      </c>
      <c r="E40" s="170">
        <f>IF(E11=0,0,(E41*E12+E49*E20+E57*E28)/E11)</f>
        <v>0</v>
      </c>
    </row>
    <row r="41" spans="1:5" ht="15">
      <c r="A41" s="18" t="s">
        <v>19</v>
      </c>
      <c r="B41" s="3" t="s">
        <v>107</v>
      </c>
      <c r="C41" s="171">
        <f>IF(C12=0,0,C37/C12)</f>
        <v>0</v>
      </c>
      <c r="D41" s="171">
        <f>IF(D12=0,0,D37/D12)</f>
        <v>0</v>
      </c>
      <c r="E41" s="184">
        <f>IF(E12=0,0,E37/E12)</f>
        <v>0</v>
      </c>
    </row>
    <row r="42" spans="1:5" ht="15.75">
      <c r="A42" s="8" t="s">
        <v>91</v>
      </c>
      <c r="B42" s="3" t="s">
        <v>61</v>
      </c>
      <c r="C42" s="171" t="s">
        <v>35</v>
      </c>
      <c r="D42" s="171" t="s">
        <v>35</v>
      </c>
      <c r="E42" s="172">
        <v>0</v>
      </c>
    </row>
    <row r="43" spans="1:5" ht="15.75">
      <c r="A43" s="8" t="s">
        <v>92</v>
      </c>
      <c r="B43" s="3" t="s">
        <v>62</v>
      </c>
      <c r="C43" s="171" t="s">
        <v>35</v>
      </c>
      <c r="D43" s="171" t="s">
        <v>35</v>
      </c>
      <c r="E43" s="172">
        <v>0</v>
      </c>
    </row>
    <row r="44" spans="1:5" ht="15.75">
      <c r="A44" s="8" t="s">
        <v>93</v>
      </c>
      <c r="B44" s="3" t="s">
        <v>63</v>
      </c>
      <c r="C44" s="171" t="s">
        <v>35</v>
      </c>
      <c r="D44" s="171" t="s">
        <v>35</v>
      </c>
      <c r="E44" s="172">
        <v>0</v>
      </c>
    </row>
    <row r="45" spans="1:5" ht="15.75">
      <c r="A45" s="8" t="s">
        <v>94</v>
      </c>
      <c r="B45" s="3" t="s">
        <v>64</v>
      </c>
      <c r="C45" s="171" t="s">
        <v>35</v>
      </c>
      <c r="D45" s="171" t="s">
        <v>35</v>
      </c>
      <c r="E45" s="172">
        <v>0</v>
      </c>
    </row>
    <row r="46" spans="1:5" ht="15.75">
      <c r="A46" s="8" t="s">
        <v>95</v>
      </c>
      <c r="B46" s="3" t="s">
        <v>65</v>
      </c>
      <c r="C46" s="171" t="s">
        <v>35</v>
      </c>
      <c r="D46" s="171" t="s">
        <v>35</v>
      </c>
      <c r="E46" s="172">
        <v>0</v>
      </c>
    </row>
    <row r="47" spans="1:5" ht="15.75">
      <c r="A47" s="8" t="s">
        <v>96</v>
      </c>
      <c r="B47" s="3" t="s">
        <v>127</v>
      </c>
      <c r="C47" s="171" t="s">
        <v>35</v>
      </c>
      <c r="D47" s="171" t="s">
        <v>35</v>
      </c>
      <c r="E47" s="172">
        <v>0</v>
      </c>
    </row>
    <row r="48" spans="1:5" ht="15.75">
      <c r="A48" s="8" t="s">
        <v>97</v>
      </c>
      <c r="B48" s="3" t="s">
        <v>66</v>
      </c>
      <c r="C48" s="171" t="s">
        <v>35</v>
      </c>
      <c r="D48" s="171" t="s">
        <v>35</v>
      </c>
      <c r="E48" s="172">
        <v>0</v>
      </c>
    </row>
    <row r="49" spans="1:5" ht="15">
      <c r="A49" s="18" t="s">
        <v>20</v>
      </c>
      <c r="B49" s="3" t="s">
        <v>106</v>
      </c>
      <c r="C49" s="171">
        <f>IF(C20=0,0,C38/C20)</f>
        <v>0</v>
      </c>
      <c r="D49" s="171">
        <f>IF(D20=0,0,D38/D20)</f>
        <v>0</v>
      </c>
      <c r="E49" s="184">
        <f>IF(E20=0,0,E38/E20)</f>
        <v>0</v>
      </c>
    </row>
    <row r="50" spans="1:5" ht="15.75">
      <c r="A50" s="8" t="s">
        <v>98</v>
      </c>
      <c r="B50" s="3" t="s">
        <v>61</v>
      </c>
      <c r="C50" s="171" t="s">
        <v>35</v>
      </c>
      <c r="D50" s="171" t="s">
        <v>35</v>
      </c>
      <c r="E50" s="172">
        <v>0</v>
      </c>
    </row>
    <row r="51" spans="1:5" ht="15.75">
      <c r="A51" s="8" t="s">
        <v>99</v>
      </c>
      <c r="B51" s="3" t="s">
        <v>62</v>
      </c>
      <c r="C51" s="171" t="s">
        <v>35</v>
      </c>
      <c r="D51" s="171" t="s">
        <v>35</v>
      </c>
      <c r="E51" s="172">
        <v>0</v>
      </c>
    </row>
    <row r="52" spans="1:5" ht="15.75">
      <c r="A52" s="8" t="s">
        <v>100</v>
      </c>
      <c r="B52" s="3" t="s">
        <v>63</v>
      </c>
      <c r="C52" s="171" t="s">
        <v>35</v>
      </c>
      <c r="D52" s="171" t="s">
        <v>35</v>
      </c>
      <c r="E52" s="172">
        <v>0</v>
      </c>
    </row>
    <row r="53" spans="1:5" ht="15.75">
      <c r="A53" s="8" t="s">
        <v>101</v>
      </c>
      <c r="B53" s="3" t="s">
        <v>64</v>
      </c>
      <c r="C53" s="171" t="s">
        <v>35</v>
      </c>
      <c r="D53" s="171" t="s">
        <v>35</v>
      </c>
      <c r="E53" s="172">
        <v>0</v>
      </c>
    </row>
    <row r="54" spans="1:5" ht="15.75">
      <c r="A54" s="8" t="s">
        <v>102</v>
      </c>
      <c r="B54" s="3" t="s">
        <v>65</v>
      </c>
      <c r="C54" s="171" t="s">
        <v>35</v>
      </c>
      <c r="D54" s="171" t="s">
        <v>35</v>
      </c>
      <c r="E54" s="172">
        <v>0</v>
      </c>
    </row>
    <row r="55" spans="1:5" ht="15.75">
      <c r="A55" s="8" t="s">
        <v>103</v>
      </c>
      <c r="B55" s="3" t="s">
        <v>127</v>
      </c>
      <c r="C55" s="171" t="s">
        <v>35</v>
      </c>
      <c r="D55" s="171" t="s">
        <v>35</v>
      </c>
      <c r="E55" s="172">
        <v>0</v>
      </c>
    </row>
    <row r="56" spans="1:5" ht="15.75">
      <c r="A56" s="8" t="s">
        <v>104</v>
      </c>
      <c r="B56" s="3" t="s">
        <v>66</v>
      </c>
      <c r="C56" s="171" t="s">
        <v>35</v>
      </c>
      <c r="D56" s="171" t="s">
        <v>35</v>
      </c>
      <c r="E56" s="172">
        <v>0</v>
      </c>
    </row>
    <row r="57" spans="1:5" ht="15">
      <c r="A57" s="18" t="s">
        <v>21</v>
      </c>
      <c r="B57" s="3" t="s">
        <v>108</v>
      </c>
      <c r="C57" s="171">
        <f>IF(C28=0,0,C39/C28)</f>
        <v>0.1820013617718534</v>
      </c>
      <c r="D57" s="171">
        <f>IF(D28=0,0,D39/D28)</f>
        <v>0.1820013617718534</v>
      </c>
      <c r="E57" s="184">
        <f>IF(E28=0,0,E39/E28)</f>
        <v>0</v>
      </c>
    </row>
    <row r="58" spans="1:5" ht="15.75">
      <c r="A58" s="8" t="s">
        <v>105</v>
      </c>
      <c r="B58" s="3" t="s">
        <v>61</v>
      </c>
      <c r="C58" s="171" t="s">
        <v>35</v>
      </c>
      <c r="D58" s="171" t="s">
        <v>35</v>
      </c>
      <c r="E58" s="172">
        <v>0</v>
      </c>
    </row>
    <row r="59" spans="1:5" ht="15.75">
      <c r="A59" s="8" t="s">
        <v>109</v>
      </c>
      <c r="B59" s="3" t="s">
        <v>62</v>
      </c>
      <c r="C59" s="171" t="s">
        <v>35</v>
      </c>
      <c r="D59" s="171" t="s">
        <v>35</v>
      </c>
      <c r="E59" s="172">
        <v>0</v>
      </c>
    </row>
    <row r="60" spans="1:5" ht="15.75">
      <c r="A60" s="8" t="s">
        <v>110</v>
      </c>
      <c r="B60" s="3" t="s">
        <v>63</v>
      </c>
      <c r="C60" s="171" t="s">
        <v>35</v>
      </c>
      <c r="D60" s="171" t="s">
        <v>35</v>
      </c>
      <c r="E60" s="172">
        <v>0</v>
      </c>
    </row>
    <row r="61" spans="1:5" ht="15.75">
      <c r="A61" s="8" t="s">
        <v>111</v>
      </c>
      <c r="B61" s="3" t="s">
        <v>64</v>
      </c>
      <c r="C61" s="171" t="s">
        <v>35</v>
      </c>
      <c r="D61" s="171" t="s">
        <v>35</v>
      </c>
      <c r="E61" s="172">
        <v>0</v>
      </c>
    </row>
    <row r="62" spans="1:5" ht="15.75">
      <c r="A62" s="8" t="s">
        <v>112</v>
      </c>
      <c r="B62" s="3" t="s">
        <v>65</v>
      </c>
      <c r="C62" s="171" t="s">
        <v>35</v>
      </c>
      <c r="D62" s="171" t="s">
        <v>35</v>
      </c>
      <c r="E62" s="172">
        <v>0</v>
      </c>
    </row>
    <row r="63" spans="1:5" ht="15.75">
      <c r="A63" s="8" t="s">
        <v>113</v>
      </c>
      <c r="B63" s="3" t="s">
        <v>127</v>
      </c>
      <c r="C63" s="171" t="s">
        <v>35</v>
      </c>
      <c r="D63" s="171" t="s">
        <v>35</v>
      </c>
      <c r="E63" s="172">
        <v>0</v>
      </c>
    </row>
    <row r="64" spans="1:5" ht="16.5" thickBot="1">
      <c r="A64" s="21" t="s">
        <v>114</v>
      </c>
      <c r="B64" s="22" t="s">
        <v>66</v>
      </c>
      <c r="C64" s="185" t="s">
        <v>35</v>
      </c>
      <c r="D64" s="185" t="s">
        <v>35</v>
      </c>
      <c r="E64" s="186">
        <v>0</v>
      </c>
    </row>
    <row r="65" spans="1:5" ht="44.25" customHeight="1">
      <c r="A65" s="12" t="s">
        <v>18</v>
      </c>
      <c r="B65" s="6" t="s">
        <v>119</v>
      </c>
      <c r="C65" s="164">
        <f>D65+E65</f>
        <v>0</v>
      </c>
      <c r="D65" s="165">
        <f>'д.2 тарифи 869 пост за табл 7.1'!D23</f>
        <v>0</v>
      </c>
      <c r="E65" s="166">
        <f>'д.2 тарифи 869 пост за табл 7.1'!E23</f>
        <v>0</v>
      </c>
    </row>
    <row r="66" spans="1:5" ht="15.75" thickBot="1">
      <c r="A66" s="14" t="s">
        <v>25</v>
      </c>
      <c r="B66" s="10" t="s">
        <v>36</v>
      </c>
      <c r="C66" s="174">
        <f>C65+C36</f>
        <v>32878</v>
      </c>
      <c r="D66" s="174">
        <f>D65+D36</f>
        <v>32878</v>
      </c>
      <c r="E66" s="175">
        <f>E65+E36</f>
        <v>0</v>
      </c>
    </row>
    <row r="67" spans="1:5" ht="30.75" customHeight="1">
      <c r="A67" s="12" t="s">
        <v>32</v>
      </c>
      <c r="B67" s="6" t="s">
        <v>30</v>
      </c>
      <c r="C67" s="542" t="s">
        <v>35</v>
      </c>
      <c r="D67" s="543"/>
      <c r="E67" s="544"/>
    </row>
    <row r="68" spans="1:5" ht="15">
      <c r="A68" s="8" t="s">
        <v>48</v>
      </c>
      <c r="B68" s="3" t="s">
        <v>60</v>
      </c>
      <c r="C68" s="531">
        <f>'д.2 тарифи 869 пост за табл 7.1'!C26:E26</f>
        <v>191</v>
      </c>
      <c r="D68" s="532"/>
      <c r="E68" s="533"/>
    </row>
    <row r="69" spans="1:5" ht="29.25" customHeight="1">
      <c r="A69" s="8" t="s">
        <v>49</v>
      </c>
      <c r="B69" s="401" t="s">
        <v>279</v>
      </c>
      <c r="C69" s="531">
        <f>'д.2 тарифи 869 пост за табл 7.1'!C27:E27</f>
        <v>-0.5</v>
      </c>
      <c r="D69" s="532"/>
      <c r="E69" s="533"/>
    </row>
    <row r="70" spans="1:5" ht="30.75" customHeight="1" thickBot="1">
      <c r="A70" s="8" t="s">
        <v>50</v>
      </c>
      <c r="B70" s="429" t="s">
        <v>280</v>
      </c>
      <c r="C70" s="531">
        <f>'д.2 тарифи 869 пост за табл 7.1'!C28:E28</f>
        <v>-21</v>
      </c>
      <c r="D70" s="532"/>
      <c r="E70" s="533"/>
    </row>
    <row r="71" spans="1:5" ht="15">
      <c r="A71" s="12" t="s">
        <v>33</v>
      </c>
      <c r="B71" s="6" t="s">
        <v>37</v>
      </c>
      <c r="C71" s="542" t="s">
        <v>35</v>
      </c>
      <c r="D71" s="543"/>
      <c r="E71" s="544"/>
    </row>
    <row r="72" spans="1:5" ht="13.5" customHeight="1">
      <c r="A72" s="18" t="s">
        <v>51</v>
      </c>
      <c r="B72" s="3" t="s">
        <v>60</v>
      </c>
      <c r="C72" s="531">
        <f>'д.2 тарифи 869 пост за табл 7.1'!C30:E30</f>
        <v>191</v>
      </c>
      <c r="D72" s="532"/>
      <c r="E72" s="533"/>
    </row>
    <row r="73" spans="1:5" ht="28.5" customHeight="1">
      <c r="A73" s="18" t="s">
        <v>52</v>
      </c>
      <c r="B73" s="401" t="s">
        <v>279</v>
      </c>
      <c r="C73" s="531">
        <f>'д.2 тарифи 869 пост за табл 7.1'!C31:E31</f>
        <v>-0.5</v>
      </c>
      <c r="D73" s="532"/>
      <c r="E73" s="533"/>
    </row>
    <row r="74" spans="1:5" ht="28.5" customHeight="1" thickBot="1">
      <c r="A74" s="18" t="s">
        <v>53</v>
      </c>
      <c r="B74" s="429" t="s">
        <v>280</v>
      </c>
      <c r="C74" s="531">
        <f>'д.2 тарифи 869 пост за табл 7.1'!C32:E32</f>
        <v>-21</v>
      </c>
      <c r="D74" s="532"/>
      <c r="E74" s="533"/>
    </row>
    <row r="75" spans="1:5" ht="28.5" customHeight="1">
      <c r="A75" s="12" t="s">
        <v>34</v>
      </c>
      <c r="B75" s="6" t="s">
        <v>54</v>
      </c>
      <c r="C75" s="542" t="s">
        <v>35</v>
      </c>
      <c r="D75" s="543"/>
      <c r="E75" s="544"/>
    </row>
    <row r="76" spans="1:5" ht="15">
      <c r="A76" s="8" t="s">
        <v>55</v>
      </c>
      <c r="B76" s="3" t="s">
        <v>60</v>
      </c>
      <c r="C76" s="531">
        <f>'д.2 тарифи 869 пост за табл 7.1'!C34:E34</f>
        <v>181</v>
      </c>
      <c r="D76" s="532"/>
      <c r="E76" s="533"/>
    </row>
    <row r="77" spans="1:5" ht="30.75" customHeight="1">
      <c r="A77" s="8" t="s">
        <v>56</v>
      </c>
      <c r="B77" s="401" t="s">
        <v>279</v>
      </c>
      <c r="C77" s="531">
        <f>'д.2 тарифи 869 пост за табл 7.1'!C35:E35</f>
        <v>-0.1</v>
      </c>
      <c r="D77" s="532"/>
      <c r="E77" s="533"/>
    </row>
    <row r="78" spans="1:5" ht="32.25" customHeight="1" thickBot="1">
      <c r="A78" s="9" t="s">
        <v>57</v>
      </c>
      <c r="B78" s="429" t="s">
        <v>280</v>
      </c>
      <c r="C78" s="531">
        <f>'д.2 тарифи 869 пост за табл 7.1'!C36:E36</f>
        <v>-21</v>
      </c>
      <c r="D78" s="532"/>
      <c r="E78" s="533"/>
    </row>
    <row r="79" spans="1:5" ht="49.5" customHeight="1">
      <c r="A79" s="12" t="s">
        <v>219</v>
      </c>
      <c r="B79" s="6" t="s">
        <v>388</v>
      </c>
      <c r="C79" s="526" t="s">
        <v>35</v>
      </c>
      <c r="D79" s="527"/>
      <c r="E79" s="528"/>
    </row>
    <row r="80" spans="1:5" ht="32.25" customHeight="1">
      <c r="A80" s="8" t="s">
        <v>389</v>
      </c>
      <c r="B80" s="3" t="s">
        <v>60</v>
      </c>
      <c r="C80" s="534">
        <f>'д.2 тарифи 869 пост за табл 7.1'!C38</f>
        <v>191</v>
      </c>
      <c r="D80" s="535"/>
      <c r="E80" s="536"/>
    </row>
    <row r="81" spans="1:5" ht="32.25" customHeight="1">
      <c r="A81" s="8" t="s">
        <v>390</v>
      </c>
      <c r="B81" s="401" t="s">
        <v>279</v>
      </c>
      <c r="C81" s="534">
        <f>'д.2 тарифи 869 пост за табл 7.1'!C39</f>
        <v>-0.5</v>
      </c>
      <c r="D81" s="535"/>
      <c r="E81" s="536"/>
    </row>
    <row r="82" spans="1:5" ht="32.25" customHeight="1" thickBot="1">
      <c r="A82" s="9" t="s">
        <v>391</v>
      </c>
      <c r="B82" s="429" t="s">
        <v>280</v>
      </c>
      <c r="C82" s="529">
        <f>'д.2 тарифи 869 пост за табл 7.1'!C40</f>
        <v>-21</v>
      </c>
      <c r="D82" s="529"/>
      <c r="E82" s="530"/>
    </row>
    <row r="83" spans="3:5" ht="15">
      <c r="C83" s="42"/>
      <c r="D83" s="42"/>
      <c r="E83" s="42"/>
    </row>
    <row r="84" spans="2:5" ht="15">
      <c r="B84" s="2" t="s">
        <v>38</v>
      </c>
      <c r="C84" s="42" t="s">
        <v>39</v>
      </c>
      <c r="D84" s="524" t="s">
        <v>400</v>
      </c>
      <c r="E84" s="525"/>
    </row>
    <row r="85" spans="3:5" ht="15">
      <c r="C85" s="42" t="s">
        <v>42</v>
      </c>
      <c r="D85" s="525" t="s">
        <v>41</v>
      </c>
      <c r="E85" s="525"/>
    </row>
    <row r="86" spans="2:5" ht="15">
      <c r="B86" s="2" t="s">
        <v>43</v>
      </c>
      <c r="C86" s="490" t="s">
        <v>401</v>
      </c>
      <c r="D86" s="490" t="s">
        <v>402</v>
      </c>
      <c r="E86" s="42"/>
    </row>
    <row r="87" spans="3:5" ht="20.25" customHeight="1">
      <c r="C87" s="42" t="s">
        <v>44</v>
      </c>
      <c r="D87" s="42" t="s">
        <v>41</v>
      </c>
      <c r="E87" s="42"/>
    </row>
  </sheetData>
  <sheetProtection password="CC5D" sheet="1"/>
  <mergeCells count="31">
    <mergeCell ref="C7:C8"/>
    <mergeCell ref="A6:E6"/>
    <mergeCell ref="C81:E81"/>
    <mergeCell ref="C67:E67"/>
    <mergeCell ref="C78:E78"/>
    <mergeCell ref="C77:E77"/>
    <mergeCell ref="C74:E74"/>
    <mergeCell ref="C75:E75"/>
    <mergeCell ref="C72:E72"/>
    <mergeCell ref="A2:B2"/>
    <mergeCell ref="D2:E2"/>
    <mergeCell ref="A3:B3"/>
    <mergeCell ref="D3:E3"/>
    <mergeCell ref="C4:E4"/>
    <mergeCell ref="A4:B4"/>
    <mergeCell ref="A5:B5"/>
    <mergeCell ref="D5:E5"/>
    <mergeCell ref="D7:E7"/>
    <mergeCell ref="A7:A8"/>
    <mergeCell ref="D85:E85"/>
    <mergeCell ref="C68:E68"/>
    <mergeCell ref="C69:E69"/>
    <mergeCell ref="C70:E70"/>
    <mergeCell ref="C71:E71"/>
    <mergeCell ref="B7:B8"/>
    <mergeCell ref="D84:E84"/>
    <mergeCell ref="C79:E79"/>
    <mergeCell ref="C82:E82"/>
    <mergeCell ref="C76:E76"/>
    <mergeCell ref="C80:E80"/>
    <mergeCell ref="C73:E73"/>
  </mergeCells>
  <printOptions/>
  <pageMargins left="0.7086614173228347" right="0.7086614173228347" top="0.44" bottom="0.7480314960629921" header="0.31496062992125984" footer="0.31496062992125984"/>
  <pageSetup fitToHeight="2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view="pageBreakPreview" zoomScale="70" zoomScaleNormal="78" zoomScaleSheetLayoutView="70" zoomScalePageLayoutView="0" workbookViewId="0" topLeftCell="A1">
      <pane xSplit="2" ySplit="9" topLeftCell="C5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E57"/>
    </sheetView>
  </sheetViews>
  <sheetFormatPr defaultColWidth="9.140625" defaultRowHeight="15"/>
  <cols>
    <col min="1" max="1" width="9.140625" style="1" customWidth="1"/>
    <col min="2" max="2" width="69.8515625" style="2" customWidth="1"/>
    <col min="3" max="3" width="16.28125" style="1" customWidth="1"/>
    <col min="4" max="4" width="18.7109375" style="1" customWidth="1"/>
    <col min="5" max="5" width="21.421875" style="1" customWidth="1"/>
    <col min="6" max="28" width="0" style="1" hidden="1" customWidth="1"/>
    <col min="29" max="16384" width="9.140625" style="1" customWidth="1"/>
  </cols>
  <sheetData>
    <row r="1" spans="1:5" ht="15">
      <c r="A1" s="42"/>
      <c r="B1" s="43"/>
      <c r="C1" s="42"/>
      <c r="D1" s="42"/>
      <c r="E1" s="42"/>
    </row>
    <row r="2" spans="1:5" ht="15" customHeight="1">
      <c r="A2" s="547" t="s">
        <v>392</v>
      </c>
      <c r="B2" s="547"/>
      <c r="C2" s="42"/>
      <c r="D2" s="548" t="s">
        <v>392</v>
      </c>
      <c r="E2" s="548"/>
    </row>
    <row r="3" spans="1:5" ht="15">
      <c r="A3" s="551" t="s">
        <v>403</v>
      </c>
      <c r="B3" s="547"/>
      <c r="C3" s="42"/>
      <c r="D3" s="552" t="s">
        <v>404</v>
      </c>
      <c r="E3" s="548"/>
    </row>
    <row r="4" spans="1:5" ht="15.75" customHeight="1">
      <c r="A4" s="547" t="s">
        <v>121</v>
      </c>
      <c r="B4" s="547"/>
      <c r="C4" s="548" t="s">
        <v>126</v>
      </c>
      <c r="D4" s="548"/>
      <c r="E4" s="548"/>
    </row>
    <row r="5" spans="1:5" ht="15">
      <c r="A5" s="537" t="s">
        <v>118</v>
      </c>
      <c r="B5" s="537"/>
      <c r="C5" s="42"/>
      <c r="D5" s="537" t="s">
        <v>118</v>
      </c>
      <c r="E5" s="537"/>
    </row>
    <row r="6" spans="1:5" ht="50.25" customHeight="1" thickBot="1">
      <c r="A6" s="550" t="str">
        <f>"Інформація щодо обягів теплової енергії на потреби опалення та ГВП, опалювальної площі житлових будинків у розрізі поверхів, відповідних питомих норм на опалення житлових будинків та кліматологічних показників "&amp;Додаток4!A7&amp;""</f>
        <v>Інформація щодо обягів теплової енергії на потреби опалення та ГВП, опалювальної площі житлових будинків у розрізі поверхів, відповідних питомих норм на опалення житлових будинків та кліматологічних показників КУЗНЄЦОВСЬКОГО МІСЬКОГО КОМУНАЛЬНОГО ПІДПРИЄМСТВА</v>
      </c>
      <c r="B6" s="550"/>
      <c r="C6" s="550"/>
      <c r="D6" s="550"/>
      <c r="E6" s="550"/>
    </row>
    <row r="7" spans="1:5" ht="15">
      <c r="A7" s="540" t="s">
        <v>28</v>
      </c>
      <c r="B7" s="545" t="s">
        <v>0</v>
      </c>
      <c r="C7" s="538" t="s">
        <v>29</v>
      </c>
      <c r="D7" s="538" t="s">
        <v>27</v>
      </c>
      <c r="E7" s="539"/>
    </row>
    <row r="8" spans="1:5" ht="111.75" customHeight="1">
      <c r="A8" s="541"/>
      <c r="B8" s="546"/>
      <c r="C8" s="549"/>
      <c r="D8" s="5" t="s">
        <v>26</v>
      </c>
      <c r="E8" s="13" t="s">
        <v>117</v>
      </c>
    </row>
    <row r="9" spans="1:5" ht="21" customHeight="1" thickBot="1">
      <c r="A9" s="14">
        <v>1</v>
      </c>
      <c r="B9" s="15">
        <v>2</v>
      </c>
      <c r="C9" s="16">
        <v>3</v>
      </c>
      <c r="D9" s="16">
        <v>4</v>
      </c>
      <c r="E9" s="17">
        <v>5</v>
      </c>
    </row>
    <row r="10" spans="1:5" ht="21.75" customHeight="1" thickBot="1">
      <c r="A10" s="24" t="s">
        <v>8</v>
      </c>
      <c r="B10" s="25" t="s">
        <v>4</v>
      </c>
      <c r="C10" s="176">
        <f>D10+E10</f>
        <v>13044</v>
      </c>
      <c r="D10" s="177">
        <f>'д.2 тарифи 869 пост за табл 7.1'!D10</f>
        <v>3693</v>
      </c>
      <c r="E10" s="178">
        <f>'д.2 тарифи 869 пост за табл 7.1'!E10</f>
        <v>9351</v>
      </c>
    </row>
    <row r="11" spans="1:5" ht="46.5" customHeight="1">
      <c r="A11" s="12" t="s">
        <v>9</v>
      </c>
      <c r="B11" s="6" t="s">
        <v>281</v>
      </c>
      <c r="C11" s="164">
        <f aca="true" t="shared" si="0" ref="C11:C23">D11+E11</f>
        <v>180647</v>
      </c>
      <c r="D11" s="165">
        <f>D12+D15+D18</f>
        <v>180647</v>
      </c>
      <c r="E11" s="166">
        <f>E12+E15+E18</f>
        <v>0</v>
      </c>
    </row>
    <row r="12" spans="1:5" ht="15">
      <c r="A12" s="8" t="s">
        <v>10</v>
      </c>
      <c r="B12" s="3" t="s">
        <v>82</v>
      </c>
      <c r="C12" s="162">
        <f t="shared" si="0"/>
        <v>0</v>
      </c>
      <c r="D12" s="179">
        <f>'д.2 тарифи 869 пост за табл 7.1'!D12</f>
        <v>0</v>
      </c>
      <c r="E12" s="180">
        <f>E13+E14</f>
        <v>0</v>
      </c>
    </row>
    <row r="13" spans="1:5" ht="15.75">
      <c r="A13" s="8" t="s">
        <v>67</v>
      </c>
      <c r="B13" s="3" t="s">
        <v>115</v>
      </c>
      <c r="C13" s="162" t="s">
        <v>35</v>
      </c>
      <c r="D13" s="162" t="s">
        <v>35</v>
      </c>
      <c r="E13" s="187">
        <f>'д.3 розр за табл 2.3-2.6'!E13+'д.3 розр за табл 2.3-2.6'!E14+'д.3 розр за табл 2.3-2.6'!E15+'д.3 розр за табл 2.3-2.6'!E16+'д.3 розр за табл 2.3-2.6'!E17</f>
        <v>0</v>
      </c>
    </row>
    <row r="14" spans="1:5" ht="15.75">
      <c r="A14" s="8" t="s">
        <v>68</v>
      </c>
      <c r="B14" s="3" t="s">
        <v>116</v>
      </c>
      <c r="C14" s="162" t="s">
        <v>35</v>
      </c>
      <c r="D14" s="162" t="s">
        <v>35</v>
      </c>
      <c r="E14" s="187">
        <f>'д.3 розр за табл 2.3-2.6'!E18+'д.3 розр за табл 2.3-2.6'!E19</f>
        <v>0</v>
      </c>
    </row>
    <row r="15" spans="1:5" ht="15">
      <c r="A15" s="8" t="s">
        <v>11</v>
      </c>
      <c r="B15" s="3" t="s">
        <v>81</v>
      </c>
      <c r="C15" s="162">
        <f t="shared" si="0"/>
        <v>0</v>
      </c>
      <c r="D15" s="179">
        <f>'д.2 тарифи 869 пост за табл 7.1'!D13</f>
        <v>0</v>
      </c>
      <c r="E15" s="180">
        <f>E16+E17</f>
        <v>0</v>
      </c>
    </row>
    <row r="16" spans="1:5" ht="15.75">
      <c r="A16" s="8" t="s">
        <v>74</v>
      </c>
      <c r="B16" s="3" t="s">
        <v>115</v>
      </c>
      <c r="C16" s="162" t="s">
        <v>35</v>
      </c>
      <c r="D16" s="162" t="s">
        <v>35</v>
      </c>
      <c r="E16" s="187">
        <f>'д.3 розр за табл 2.3-2.6'!E21+'д.3 розр за табл 2.3-2.6'!E22+'д.3 розр за табл 2.3-2.6'!E23+'д.3 розр за табл 2.3-2.6'!E24+'д.3 розр за табл 2.3-2.6'!E25</f>
        <v>0</v>
      </c>
    </row>
    <row r="17" spans="1:5" ht="15.75">
      <c r="A17" s="8" t="s">
        <v>75</v>
      </c>
      <c r="B17" s="3" t="s">
        <v>152</v>
      </c>
      <c r="C17" s="162" t="s">
        <v>35</v>
      </c>
      <c r="D17" s="162" t="s">
        <v>35</v>
      </c>
      <c r="E17" s="187">
        <f>'д.3 розр за табл 2.3-2.6'!E26+'д.3 розр за табл 2.3-2.6'!E27</f>
        <v>0</v>
      </c>
    </row>
    <row r="18" spans="1:5" ht="15">
      <c r="A18" s="8" t="s">
        <v>12</v>
      </c>
      <c r="B18" s="3" t="s">
        <v>90</v>
      </c>
      <c r="C18" s="162">
        <f t="shared" si="0"/>
        <v>180647</v>
      </c>
      <c r="D18" s="179">
        <f>'д.2 тарифи 869 пост за табл 7.1'!D14</f>
        <v>180647</v>
      </c>
      <c r="E18" s="180">
        <f>E19+E20</f>
        <v>0</v>
      </c>
    </row>
    <row r="19" spans="1:5" ht="15.75">
      <c r="A19" s="8" t="s">
        <v>83</v>
      </c>
      <c r="B19" s="3" t="s">
        <v>115</v>
      </c>
      <c r="C19" s="162" t="s">
        <v>35</v>
      </c>
      <c r="D19" s="162" t="s">
        <v>35</v>
      </c>
      <c r="E19" s="187">
        <f>'д.3 розр за табл 2.3-2.6'!E29+'д.3 розр за табл 2.3-2.6'!E30+'д.3 розр за табл 2.3-2.6'!E31+'д.3 розр за табл 2.3-2.6'!E32+'д.3 розр за табл 2.3-2.6'!E33</f>
        <v>0</v>
      </c>
    </row>
    <row r="20" spans="1:5" ht="16.5" thickBot="1">
      <c r="A20" s="8" t="s">
        <v>84</v>
      </c>
      <c r="B20" s="3" t="s">
        <v>152</v>
      </c>
      <c r="C20" s="162" t="s">
        <v>35</v>
      </c>
      <c r="D20" s="162" t="s">
        <v>35</v>
      </c>
      <c r="E20" s="187">
        <f>'д.3 розр за табл 2.3-2.6'!E34+'д.3 розр за табл 2.3-2.6'!E35</f>
        <v>0</v>
      </c>
    </row>
    <row r="21" spans="1:5" ht="48" customHeight="1">
      <c r="A21" s="12" t="s">
        <v>13</v>
      </c>
      <c r="B21" s="6" t="s">
        <v>31</v>
      </c>
      <c r="C21" s="164">
        <f t="shared" si="0"/>
        <v>32878</v>
      </c>
      <c r="D21" s="165">
        <f>D22+D23+D24</f>
        <v>32878</v>
      </c>
      <c r="E21" s="167">
        <f>E25*E11</f>
        <v>0</v>
      </c>
    </row>
    <row r="22" spans="1:5" ht="15">
      <c r="A22" s="18" t="s">
        <v>14</v>
      </c>
      <c r="B22" s="3" t="s">
        <v>5</v>
      </c>
      <c r="C22" s="162">
        <f t="shared" si="0"/>
        <v>0</v>
      </c>
      <c r="D22" s="179">
        <f>'д.2 тарифи 869 пост за табл 7.1'!D16</f>
        <v>0</v>
      </c>
      <c r="E22" s="168">
        <f>SUMPRODUCT(E13:E14,E27:E28)</f>
        <v>0</v>
      </c>
    </row>
    <row r="23" spans="1:5" ht="15">
      <c r="A23" s="18" t="s">
        <v>15</v>
      </c>
      <c r="B23" s="3" t="s">
        <v>6</v>
      </c>
      <c r="C23" s="162">
        <f t="shared" si="0"/>
        <v>0</v>
      </c>
      <c r="D23" s="179">
        <f>'д.2 тарифи 869 пост за табл 7.1'!D17</f>
        <v>0</v>
      </c>
      <c r="E23" s="168">
        <f>SUMPRODUCT(E16:E17,E30:E31)</f>
        <v>0</v>
      </c>
    </row>
    <row r="24" spans="1:5" ht="15.75" thickBot="1">
      <c r="A24" s="26" t="s">
        <v>16</v>
      </c>
      <c r="B24" s="22" t="s">
        <v>7</v>
      </c>
      <c r="C24" s="181">
        <f>D24+E24</f>
        <v>32878</v>
      </c>
      <c r="D24" s="183">
        <f>'д.2 тарифи 869 пост за табл 7.1'!D18</f>
        <v>32878</v>
      </c>
      <c r="E24" s="168">
        <f>SUMPRODUCT(E19:E20,E33:E34)</f>
        <v>0</v>
      </c>
    </row>
    <row r="25" spans="1:5" ht="30.75" customHeight="1">
      <c r="A25" s="12" t="s">
        <v>17</v>
      </c>
      <c r="B25" s="6" t="s">
        <v>59</v>
      </c>
      <c r="C25" s="169">
        <f>IF(C11=0,0,C21/C11)</f>
        <v>0.1820013617718534</v>
      </c>
      <c r="D25" s="169">
        <f>IF(D11=0,0,D21/D11)</f>
        <v>0.1820013617718534</v>
      </c>
      <c r="E25" s="170">
        <f>IF(E11=0,0,(E26*E12+E29*E15+E32*E18)/E11)</f>
        <v>0</v>
      </c>
    </row>
    <row r="26" spans="1:5" ht="15">
      <c r="A26" s="18" t="s">
        <v>19</v>
      </c>
      <c r="B26" s="3" t="s">
        <v>107</v>
      </c>
      <c r="C26" s="171">
        <f>IF(C12=0,0,C22/C12)</f>
        <v>0</v>
      </c>
      <c r="D26" s="171">
        <f>IF(D12=0,0,D22/D12)</f>
        <v>0</v>
      </c>
      <c r="E26" s="184">
        <f>IF(E12=0,0,E22/E12)</f>
        <v>0</v>
      </c>
    </row>
    <row r="27" spans="1:5" ht="15.75">
      <c r="A27" s="8" t="s">
        <v>91</v>
      </c>
      <c r="B27" s="3" t="s">
        <v>115</v>
      </c>
      <c r="C27" s="171" t="s">
        <v>35</v>
      </c>
      <c r="D27" s="171" t="s">
        <v>35</v>
      </c>
      <c r="E27" s="188">
        <f>(IF($C$40&gt;=-5,Лист1!C7+(Лист1!C7-Лист1!D7)/5*($C$40+5),IF($C$40&gt;=-10,Лист1!D7+(Лист1!C7-Лист1!D7)/5*($C$40+10),IF($C$40&gt;=-15,Лист1!E7+(Лист1!D7-Лист1!E7)/5*($C$40+15),IF($C$40&gt;=-20,Лист1!F7-(Лист1!F7-Лист1!E7)/5*($C$40+20),IF($C$40&gt;=-25,Лист1!G7+(Лист1!F7-Лист1!G7)/5*($C$40+25),0))))))*$C$38*24*(18-$C$39)/1000000</f>
        <v>0.387045456</v>
      </c>
    </row>
    <row r="28" spans="1:5" ht="15.75">
      <c r="A28" s="8" t="s">
        <v>92</v>
      </c>
      <c r="B28" s="3" t="s">
        <v>152</v>
      </c>
      <c r="C28" s="171" t="s">
        <v>35</v>
      </c>
      <c r="D28" s="171" t="s">
        <v>35</v>
      </c>
      <c r="E28" s="188">
        <f>(IF($C$40&gt;=-5,Лист1!C14+(Лист1!C14-Лист1!D14)/5*($C$40+5),IF($C$40&gt;=-10,Лист1!D14+(Лист1!C14-Лист1!D14)/5*($C$40+10),IF($C$40&gt;=-15,Лист1!E14+(Лист1!D14-Лист1!E14)/5*($C$40+15),IF($C$40&gt;=-20,Лист1!F14-(Лист1!F14-Лист1!E14)/5*($C$40+20),IF($C$40&gt;=-25,Лист1!G14+(Лист1!F14-Лист1!G14)/5*($C$40+25),0))))))*$C$38*24*(18-$C$39)/1000000</f>
        <v>0.313096368</v>
      </c>
    </row>
    <row r="29" spans="1:5" ht="15">
      <c r="A29" s="18" t="s">
        <v>20</v>
      </c>
      <c r="B29" s="3" t="s">
        <v>106</v>
      </c>
      <c r="C29" s="171">
        <f>IF(C15=0,0,C23/C15)</f>
        <v>0</v>
      </c>
      <c r="D29" s="171">
        <f>IF(D15=0,0,D23/D15)</f>
        <v>0</v>
      </c>
      <c r="E29" s="184">
        <f>IF(E15=0,0,E23/E15)</f>
        <v>0</v>
      </c>
    </row>
    <row r="30" spans="1:5" ht="15.75">
      <c r="A30" s="8" t="s">
        <v>98</v>
      </c>
      <c r="B30" s="3" t="s">
        <v>115</v>
      </c>
      <c r="C30" s="171" t="s">
        <v>35</v>
      </c>
      <c r="D30" s="171" t="s">
        <v>35</v>
      </c>
      <c r="E30" s="188">
        <f>(IF($C$40&gt;=-5,Лист1!C8+(Лист1!C8-Лист1!D8)/5*($C$40+5),IF($C$40&gt;=-10,Лист1!D8+(Лист1!C8-Лист1!D8)/5*($C$40+10),IF($C$40&gt;=-15,Лист1!E8+(Лист1!D8-Лист1!E8)/5*($C$40+15),IF($C$40&gt;=-20,Лист1!F8-(Лист1!F8-Лист1!E8)/5*($C$40+20),IF($C$40&gt;=-25,Лист1!G8+(Лист1!F8-Лист1!G8)/5*($C$40+25),0))))))*$C$38*24*(18-$C$39)/1000000</f>
        <v>0.22252569600000002</v>
      </c>
    </row>
    <row r="31" spans="1:5" ht="15.75">
      <c r="A31" s="8" t="s">
        <v>99</v>
      </c>
      <c r="B31" s="3" t="s">
        <v>152</v>
      </c>
      <c r="C31" s="171" t="s">
        <v>35</v>
      </c>
      <c r="D31" s="171" t="s">
        <v>35</v>
      </c>
      <c r="E31" s="188">
        <f>(IF($C$40&gt;=-5,Лист1!C15+(Лист1!C15-Лист1!D15)/5*($C$40+5),IF($C$40&gt;=-10,Лист1!D15+(Лист1!C15-Лист1!D15)/5*($C$40+10),IF($C$40&gt;=-15,Лист1!E15+(Лист1!D15-Лист1!E15)/5*($C$40+15),IF($C$40&gt;=-20,Лист1!F15-(Лист1!F15-Лист1!E15)/5*($C$40+20),IF($C$40&gt;=-25,Лист1!G15+(Лист1!F15-Лист1!G15)/5*($C$40+25),0))))))*$C$38*24*(18-$C$39)/1000000</f>
        <v>0.172660944</v>
      </c>
    </row>
    <row r="32" spans="1:5" ht="15">
      <c r="A32" s="18" t="s">
        <v>21</v>
      </c>
      <c r="B32" s="3" t="s">
        <v>124</v>
      </c>
      <c r="C32" s="171">
        <f>IF(C18=0,0,C24/C18)</f>
        <v>0.1820013617718534</v>
      </c>
      <c r="D32" s="171">
        <f>IF(D18=0,0,D24/D18)</f>
        <v>0.1820013617718534</v>
      </c>
      <c r="E32" s="184">
        <f>IF(E18=0,0,E24/E18)</f>
        <v>0</v>
      </c>
    </row>
    <row r="33" spans="1:5" ht="15.75">
      <c r="A33" s="8" t="s">
        <v>105</v>
      </c>
      <c r="B33" s="3" t="s">
        <v>115</v>
      </c>
      <c r="C33" s="171" t="s">
        <v>35</v>
      </c>
      <c r="D33" s="171" t="s">
        <v>35</v>
      </c>
      <c r="E33" s="188">
        <f>(IF($C$40&gt;=-5,Лист1!C9+(Лист1!C9-Лист1!D9)/5*($C$40+5),IF($C$40&gt;=-10,Лист1!D9+(Лист1!C9-Лист1!D9)/5*($C$40+10),IF($C$40&gt;=-15,Лист1!E9+(Лист1!D9-Лист1!E9)/5*($C$40+15),IF($C$40&gt;=-20,Лист1!F9-(Лист1!F9-Лист1!E9)/5*($C$40+20),IF($C$40&gt;=-25,Лист1!G9+(Лист1!F9-Лист1!G9)/5*($C$40+25),0))))))*$C$38*24*(18-$C$39)/1000000</f>
        <v>0.149933472</v>
      </c>
    </row>
    <row r="34" spans="1:5" ht="16.5" thickBot="1">
      <c r="A34" s="8" t="s">
        <v>109</v>
      </c>
      <c r="B34" s="3" t="s">
        <v>152</v>
      </c>
      <c r="C34" s="171" t="s">
        <v>35</v>
      </c>
      <c r="D34" s="171" t="s">
        <v>35</v>
      </c>
      <c r="E34" s="188">
        <f>(IF($C$40&gt;=-5,Лист1!C16+(Лист1!C16-Лист1!D16)/5*($C$40+5),IF($C$40&gt;=-10,Лист1!D16+(Лист1!C16-Лист1!D16)/5*($C$40+10),IF($C$40&gt;=-15,Лист1!E16+(Лист1!D16-Лист1!E16)/5*($C$40+15),IF($C$40&gt;=-20,Лист1!F16-(Лист1!F16-Лист1!E16)/5*($C$40+20),IF($C$40&gt;=-25,Лист1!G16+(Лист1!F16-Лист1!G16)/5*($C$40+25),0))))))*$C$38*24*(18-$C$39)/1000000</f>
        <v>0.139417776</v>
      </c>
    </row>
    <row r="35" spans="1:5" ht="36.75" customHeight="1">
      <c r="A35" s="12" t="s">
        <v>18</v>
      </c>
      <c r="B35" s="6" t="s">
        <v>119</v>
      </c>
      <c r="C35" s="164">
        <f>D35+E35</f>
        <v>0</v>
      </c>
      <c r="D35" s="165">
        <f>'д.2 тарифи 869 пост за табл 7.1'!D23</f>
        <v>0</v>
      </c>
      <c r="E35" s="166">
        <f>'д.2 тарифи 869 пост за табл 7.1'!E23</f>
        <v>0</v>
      </c>
    </row>
    <row r="36" spans="1:5" ht="15.75" thickBot="1">
      <c r="A36" s="14" t="s">
        <v>25</v>
      </c>
      <c r="B36" s="10" t="s">
        <v>36</v>
      </c>
      <c r="C36" s="174">
        <f>C35+C21</f>
        <v>32878</v>
      </c>
      <c r="D36" s="174">
        <f>D35+D21</f>
        <v>32878</v>
      </c>
      <c r="E36" s="175">
        <f>E35+E21</f>
        <v>0</v>
      </c>
    </row>
    <row r="37" spans="1:5" ht="24" customHeight="1">
      <c r="A37" s="12" t="s">
        <v>32</v>
      </c>
      <c r="B37" s="6" t="s">
        <v>30</v>
      </c>
      <c r="C37" s="542" t="s">
        <v>35</v>
      </c>
      <c r="D37" s="543"/>
      <c r="E37" s="544"/>
    </row>
    <row r="38" spans="1:5" ht="15">
      <c r="A38" s="8" t="s">
        <v>48</v>
      </c>
      <c r="B38" s="3" t="s">
        <v>60</v>
      </c>
      <c r="C38" s="531">
        <f>'д.2 тарифи 869 пост за табл 7.1'!C26:E26</f>
        <v>191</v>
      </c>
      <c r="D38" s="532"/>
      <c r="E38" s="533"/>
    </row>
    <row r="39" spans="1:5" ht="22.5" customHeight="1">
      <c r="A39" s="8" t="s">
        <v>49</v>
      </c>
      <c r="B39" s="3" t="s">
        <v>279</v>
      </c>
      <c r="C39" s="531">
        <f>'д.2 тарифи 869 пост за табл 7.1'!C27:E27</f>
        <v>-0.5</v>
      </c>
      <c r="D39" s="532"/>
      <c r="E39" s="533"/>
    </row>
    <row r="40" spans="1:5" ht="21.75" customHeight="1" thickBot="1">
      <c r="A40" s="8" t="s">
        <v>50</v>
      </c>
      <c r="B40" s="3" t="s">
        <v>280</v>
      </c>
      <c r="C40" s="531">
        <f>'д.2 тарифи 869 пост за табл 7.1'!C28:E28</f>
        <v>-21</v>
      </c>
      <c r="D40" s="532"/>
      <c r="E40" s="533"/>
    </row>
    <row r="41" spans="1:5" ht="15">
      <c r="A41" s="12" t="s">
        <v>33</v>
      </c>
      <c r="B41" s="6" t="s">
        <v>37</v>
      </c>
      <c r="C41" s="542" t="s">
        <v>35</v>
      </c>
      <c r="D41" s="543"/>
      <c r="E41" s="544"/>
    </row>
    <row r="42" spans="1:5" ht="13.5" customHeight="1">
      <c r="A42" s="18" t="s">
        <v>51</v>
      </c>
      <c r="B42" s="3" t="s">
        <v>60</v>
      </c>
      <c r="C42" s="531">
        <f>'д.2 тарифи 869 пост за табл 7.1'!C30:E30</f>
        <v>191</v>
      </c>
      <c r="D42" s="532"/>
      <c r="E42" s="533"/>
    </row>
    <row r="43" spans="1:5" ht="19.5" customHeight="1">
      <c r="A43" s="18" t="s">
        <v>52</v>
      </c>
      <c r="B43" s="3" t="s">
        <v>279</v>
      </c>
      <c r="C43" s="531">
        <f>'д.2 тарифи 869 пост за табл 7.1'!C31:E31</f>
        <v>-0.5</v>
      </c>
      <c r="D43" s="532"/>
      <c r="E43" s="533"/>
    </row>
    <row r="44" spans="1:5" ht="21.75" customHeight="1" thickBot="1">
      <c r="A44" s="18" t="s">
        <v>53</v>
      </c>
      <c r="B44" s="3" t="s">
        <v>280</v>
      </c>
      <c r="C44" s="531">
        <f>'д.2 тарифи 869 пост за табл 7.1'!C32:E32</f>
        <v>-21</v>
      </c>
      <c r="D44" s="532"/>
      <c r="E44" s="533"/>
    </row>
    <row r="45" spans="1:5" ht="17.25" customHeight="1">
      <c r="A45" s="12" t="s">
        <v>34</v>
      </c>
      <c r="B45" s="6" t="s">
        <v>54</v>
      </c>
      <c r="C45" s="542" t="s">
        <v>35</v>
      </c>
      <c r="D45" s="543"/>
      <c r="E45" s="544"/>
    </row>
    <row r="46" spans="1:5" ht="15">
      <c r="A46" s="8" t="s">
        <v>55</v>
      </c>
      <c r="B46" s="3" t="s">
        <v>60</v>
      </c>
      <c r="C46" s="531">
        <f>'д.2 тарифи 869 пост за табл 7.1'!C34:E34</f>
        <v>181</v>
      </c>
      <c r="D46" s="532"/>
      <c r="E46" s="533"/>
    </row>
    <row r="47" spans="1:5" ht="18.75" customHeight="1">
      <c r="A47" s="8" t="s">
        <v>56</v>
      </c>
      <c r="B47" s="3" t="s">
        <v>279</v>
      </c>
      <c r="C47" s="531">
        <f>'д.2 тарифи 869 пост за табл 7.1'!C35:E35</f>
        <v>-0.1</v>
      </c>
      <c r="D47" s="532"/>
      <c r="E47" s="533"/>
    </row>
    <row r="48" spans="1:5" ht="18.75" customHeight="1" thickBot="1">
      <c r="A48" s="9" t="s">
        <v>57</v>
      </c>
      <c r="B48" s="3" t="s">
        <v>280</v>
      </c>
      <c r="C48" s="531">
        <f>'д.2 тарифи 869 пост за табл 7.1'!C36:E36</f>
        <v>-21</v>
      </c>
      <c r="D48" s="532"/>
      <c r="E48" s="533"/>
    </row>
    <row r="49" spans="1:5" ht="34.5" customHeight="1">
      <c r="A49" s="12" t="s">
        <v>219</v>
      </c>
      <c r="B49" s="6" t="s">
        <v>388</v>
      </c>
      <c r="C49" s="526" t="s">
        <v>35</v>
      </c>
      <c r="D49" s="527"/>
      <c r="E49" s="528"/>
    </row>
    <row r="50" spans="1:5" ht="18.75" customHeight="1">
      <c r="A50" s="8" t="s">
        <v>389</v>
      </c>
      <c r="B50" s="3" t="s">
        <v>60</v>
      </c>
      <c r="C50" s="534"/>
      <c r="D50" s="535"/>
      <c r="E50" s="536"/>
    </row>
    <row r="51" spans="1:5" ht="18.75" customHeight="1">
      <c r="A51" s="8" t="s">
        <v>390</v>
      </c>
      <c r="B51" s="3" t="s">
        <v>280</v>
      </c>
      <c r="C51" s="534"/>
      <c r="D51" s="535"/>
      <c r="E51" s="536"/>
    </row>
    <row r="52" spans="1:5" ht="18.75" customHeight="1" thickBot="1">
      <c r="A52" s="9" t="s">
        <v>391</v>
      </c>
      <c r="B52" s="10" t="s">
        <v>279</v>
      </c>
      <c r="C52" s="529"/>
      <c r="D52" s="529"/>
      <c r="E52" s="530"/>
    </row>
    <row r="53" spans="3:5" ht="15">
      <c r="C53" s="42"/>
      <c r="D53" s="42"/>
      <c r="E53" s="42"/>
    </row>
    <row r="54" spans="2:5" ht="15">
      <c r="B54" s="2" t="s">
        <v>38</v>
      </c>
      <c r="C54" s="42" t="s">
        <v>39</v>
      </c>
      <c r="D54" s="524" t="s">
        <v>400</v>
      </c>
      <c r="E54" s="525"/>
    </row>
    <row r="55" spans="3:5" ht="15">
      <c r="C55" s="42" t="s">
        <v>42</v>
      </c>
      <c r="D55" s="525" t="s">
        <v>41</v>
      </c>
      <c r="E55" s="525"/>
    </row>
    <row r="56" spans="2:5" ht="15">
      <c r="B56" s="2" t="s">
        <v>43</v>
      </c>
      <c r="C56" s="490" t="s">
        <v>405</v>
      </c>
      <c r="D56" s="490" t="s">
        <v>402</v>
      </c>
      <c r="E56" s="42"/>
    </row>
    <row r="57" spans="3:5" ht="20.25" customHeight="1">
      <c r="C57" s="42" t="s">
        <v>44</v>
      </c>
      <c r="D57" s="42" t="s">
        <v>41</v>
      </c>
      <c r="E57" s="42"/>
    </row>
  </sheetData>
  <sheetProtection password="CC5D" sheet="1" formatRows="0"/>
  <mergeCells count="31">
    <mergeCell ref="D55:E55"/>
    <mergeCell ref="C44:E44"/>
    <mergeCell ref="C45:E45"/>
    <mergeCell ref="C46:E46"/>
    <mergeCell ref="C47:E47"/>
    <mergeCell ref="D54:E54"/>
    <mergeCell ref="C52:E52"/>
    <mergeCell ref="C43:E43"/>
    <mergeCell ref="C41:E41"/>
    <mergeCell ref="C7:C8"/>
    <mergeCell ref="C51:E51"/>
    <mergeCell ref="C48:E48"/>
    <mergeCell ref="C49:E49"/>
    <mergeCell ref="C50:E50"/>
    <mergeCell ref="D7:E7"/>
    <mergeCell ref="A2:B2"/>
    <mergeCell ref="D2:E2"/>
    <mergeCell ref="A3:B3"/>
    <mergeCell ref="D3:E3"/>
    <mergeCell ref="A5:B5"/>
    <mergeCell ref="A4:B4"/>
    <mergeCell ref="C4:E4"/>
    <mergeCell ref="A6:E6"/>
    <mergeCell ref="D5:E5"/>
    <mergeCell ref="C40:E40"/>
    <mergeCell ref="C38:E38"/>
    <mergeCell ref="C42:E42"/>
    <mergeCell ref="C39:E39"/>
    <mergeCell ref="C37:E37"/>
    <mergeCell ref="A7:A8"/>
    <mergeCell ref="B7:B8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14" sqref="G14"/>
    </sheetView>
  </sheetViews>
  <sheetFormatPr defaultColWidth="9.140625" defaultRowHeight="15"/>
  <sheetData>
    <row r="1" ht="15">
      <c r="L1" t="s">
        <v>128</v>
      </c>
    </row>
    <row r="2" spans="1:13" ht="15">
      <c r="A2" s="563" t="s">
        <v>129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</row>
    <row r="4" spans="1:13" ht="15">
      <c r="A4" s="564" t="s">
        <v>130</v>
      </c>
      <c r="B4" s="564" t="s">
        <v>131</v>
      </c>
      <c r="C4" s="565" t="s">
        <v>132</v>
      </c>
      <c r="D4" s="566"/>
      <c r="E4" s="566"/>
      <c r="F4" s="566"/>
      <c r="G4" s="566"/>
      <c r="H4" s="566"/>
      <c r="I4" s="566"/>
      <c r="J4" s="566"/>
      <c r="K4" s="566"/>
      <c r="L4" s="566"/>
      <c r="M4" s="567"/>
    </row>
    <row r="5" spans="1:13" ht="15">
      <c r="A5" s="564"/>
      <c r="B5" s="564"/>
      <c r="C5" s="27" t="s">
        <v>133</v>
      </c>
      <c r="D5" s="27" t="s">
        <v>134</v>
      </c>
      <c r="E5" s="27" t="s">
        <v>135</v>
      </c>
      <c r="F5" s="27" t="s">
        <v>136</v>
      </c>
      <c r="G5" s="27" t="s">
        <v>137</v>
      </c>
      <c r="H5" s="27" t="s">
        <v>138</v>
      </c>
      <c r="I5" s="27" t="s">
        <v>139</v>
      </c>
      <c r="J5" s="27" t="s">
        <v>140</v>
      </c>
      <c r="K5" s="27" t="s">
        <v>141</v>
      </c>
      <c r="L5" s="27" t="s">
        <v>142</v>
      </c>
      <c r="M5" s="27" t="s">
        <v>143</v>
      </c>
    </row>
    <row r="6" spans="1:13" ht="15.75" thickBot="1">
      <c r="A6" s="557"/>
      <c r="B6" s="558"/>
      <c r="C6" s="559" t="s">
        <v>144</v>
      </c>
      <c r="D6" s="559"/>
      <c r="E6" s="559"/>
      <c r="F6" s="559"/>
      <c r="G6" s="559"/>
      <c r="H6" s="559"/>
      <c r="I6" s="559"/>
      <c r="J6" s="559"/>
      <c r="K6" s="559"/>
      <c r="L6" s="559"/>
      <c r="M6" s="559"/>
    </row>
    <row r="7" spans="1:13" ht="15">
      <c r="A7" s="28" t="s">
        <v>145</v>
      </c>
      <c r="B7" s="560" t="s">
        <v>146</v>
      </c>
      <c r="C7" s="29">
        <v>5.53</v>
      </c>
      <c r="D7" s="30">
        <v>4.73</v>
      </c>
      <c r="E7" s="30">
        <v>4.17</v>
      </c>
      <c r="F7" s="30">
        <v>4.64</v>
      </c>
      <c r="G7" s="30">
        <v>4.26</v>
      </c>
      <c r="H7" s="30">
        <v>4.12</v>
      </c>
      <c r="I7" s="30">
        <v>3.79</v>
      </c>
      <c r="J7" s="30">
        <v>3.52</v>
      </c>
      <c r="K7" s="30">
        <v>3.3</v>
      </c>
      <c r="L7" s="30">
        <v>3.23</v>
      </c>
      <c r="M7" s="31">
        <v>3.19</v>
      </c>
    </row>
    <row r="8" spans="1:13" ht="15">
      <c r="A8" s="32" t="s">
        <v>147</v>
      </c>
      <c r="B8" s="561"/>
      <c r="C8" s="33">
        <v>3.55</v>
      </c>
      <c r="D8" s="27">
        <v>3.13</v>
      </c>
      <c r="E8" s="27">
        <v>2.84</v>
      </c>
      <c r="F8" s="27">
        <v>2.65</v>
      </c>
      <c r="G8" s="27">
        <v>2.52</v>
      </c>
      <c r="H8" s="27">
        <v>2.4</v>
      </c>
      <c r="I8" s="27">
        <v>2.33</v>
      </c>
      <c r="J8" s="27">
        <v>2.23</v>
      </c>
      <c r="K8" s="27">
        <v>2.18</v>
      </c>
      <c r="L8" s="27">
        <v>2.14</v>
      </c>
      <c r="M8" s="34">
        <v>2.11</v>
      </c>
    </row>
    <row r="9" spans="1:13" ht="15.75" thickBot="1">
      <c r="A9" s="35" t="s">
        <v>148</v>
      </c>
      <c r="B9" s="562"/>
      <c r="C9" s="36">
        <v>2.43</v>
      </c>
      <c r="D9" s="37">
        <v>2.15</v>
      </c>
      <c r="E9" s="37">
        <v>2.01</v>
      </c>
      <c r="F9" s="37">
        <v>1.78</v>
      </c>
      <c r="G9" s="37">
        <v>1.72</v>
      </c>
      <c r="H9" s="37">
        <v>1.57</v>
      </c>
      <c r="I9" s="37">
        <v>1.59</v>
      </c>
      <c r="J9" s="37">
        <v>1.51</v>
      </c>
      <c r="K9" s="37">
        <v>1.48</v>
      </c>
      <c r="L9" s="37">
        <v>1.45</v>
      </c>
      <c r="M9" s="38">
        <v>1.44</v>
      </c>
    </row>
    <row r="10" spans="1:13" ht="15">
      <c r="A10" s="39" t="s">
        <v>145</v>
      </c>
      <c r="B10" s="560" t="s">
        <v>149</v>
      </c>
      <c r="C10" s="29">
        <v>5.49</v>
      </c>
      <c r="D10" s="30">
        <v>4.7</v>
      </c>
      <c r="E10" s="30">
        <v>4.17</v>
      </c>
      <c r="F10" s="30">
        <v>4.39</v>
      </c>
      <c r="G10" s="30">
        <v>4.02</v>
      </c>
      <c r="H10" s="30">
        <v>3.91</v>
      </c>
      <c r="I10" s="30">
        <v>3.6</v>
      </c>
      <c r="J10" s="30">
        <v>3.34</v>
      </c>
      <c r="K10" s="30">
        <v>3.14</v>
      </c>
      <c r="L10" s="30">
        <v>3.06</v>
      </c>
      <c r="M10" s="31">
        <v>3.03</v>
      </c>
    </row>
    <row r="11" spans="1:13" ht="15">
      <c r="A11" s="40" t="s">
        <v>147</v>
      </c>
      <c r="B11" s="561"/>
      <c r="C11" s="33">
        <v>3.36</v>
      </c>
      <c r="D11" s="27">
        <v>2.98</v>
      </c>
      <c r="E11" s="27">
        <v>2.68</v>
      </c>
      <c r="F11" s="27">
        <v>2.51</v>
      </c>
      <c r="G11" s="27">
        <v>2.38</v>
      </c>
      <c r="H11" s="27">
        <v>2.29</v>
      </c>
      <c r="I11" s="27">
        <v>2.22</v>
      </c>
      <c r="J11" s="27">
        <v>2.07</v>
      </c>
      <c r="K11" s="27">
        <v>2.07</v>
      </c>
      <c r="L11" s="27">
        <v>2.02</v>
      </c>
      <c r="M11" s="34">
        <v>2.02</v>
      </c>
    </row>
    <row r="12" spans="1:13" ht="15.75" thickBot="1">
      <c r="A12" s="41" t="s">
        <v>148</v>
      </c>
      <c r="B12" s="562"/>
      <c r="C12" s="36">
        <v>2.43</v>
      </c>
      <c r="D12" s="37">
        <v>2.12</v>
      </c>
      <c r="E12" s="37">
        <v>1.9</v>
      </c>
      <c r="F12" s="37">
        <v>1.69</v>
      </c>
      <c r="G12" s="37">
        <v>1.64</v>
      </c>
      <c r="H12" s="37">
        <v>1.57</v>
      </c>
      <c r="I12" s="37">
        <v>1.49</v>
      </c>
      <c r="J12" s="37">
        <v>1.42</v>
      </c>
      <c r="K12" s="37">
        <v>1.41</v>
      </c>
      <c r="L12" s="37">
        <v>1.37</v>
      </c>
      <c r="M12" s="38">
        <v>1.36</v>
      </c>
    </row>
    <row r="13" spans="1:13" ht="15.75" thickBot="1">
      <c r="A13" s="568"/>
      <c r="B13" s="569"/>
      <c r="C13" s="553" t="s">
        <v>150</v>
      </c>
      <c r="D13" s="553"/>
      <c r="E13" s="553"/>
      <c r="F13" s="553"/>
      <c r="G13" s="553"/>
      <c r="H13" s="553"/>
      <c r="I13" s="553"/>
      <c r="J13" s="553"/>
      <c r="K13" s="553"/>
      <c r="L13" s="553"/>
      <c r="M13" s="553"/>
    </row>
    <row r="14" spans="1:13" ht="15">
      <c r="A14" s="39" t="s">
        <v>145</v>
      </c>
      <c r="B14" s="554" t="s">
        <v>151</v>
      </c>
      <c r="C14" s="29">
        <v>5.42</v>
      </c>
      <c r="D14" s="30">
        <v>4.67</v>
      </c>
      <c r="E14" s="30">
        <v>4.14</v>
      </c>
      <c r="F14" s="30">
        <v>3.75</v>
      </c>
      <c r="G14" s="30">
        <v>3.46</v>
      </c>
      <c r="H14" s="30">
        <v>3.17</v>
      </c>
      <c r="I14" s="30">
        <v>2.92</v>
      </c>
      <c r="J14" s="30">
        <v>2.77</v>
      </c>
      <c r="K14" s="30">
        <v>2.65</v>
      </c>
      <c r="L14" s="30">
        <v>2.53</v>
      </c>
      <c r="M14" s="31">
        <v>2.45</v>
      </c>
    </row>
    <row r="15" spans="1:13" ht="15">
      <c r="A15" s="40" t="s">
        <v>147</v>
      </c>
      <c r="B15" s="555"/>
      <c r="C15" s="33">
        <v>2.76</v>
      </c>
      <c r="D15" s="27">
        <v>2.46</v>
      </c>
      <c r="E15" s="27">
        <v>2.24</v>
      </c>
      <c r="F15" s="27">
        <v>2.06</v>
      </c>
      <c r="G15" s="27">
        <v>1.94</v>
      </c>
      <c r="H15" s="27">
        <v>1.81</v>
      </c>
      <c r="I15" s="27">
        <v>1.67</v>
      </c>
      <c r="J15" s="27">
        <v>1.62</v>
      </c>
      <c r="K15" s="27">
        <v>1.58</v>
      </c>
      <c r="L15" s="27">
        <v>1.55</v>
      </c>
      <c r="M15" s="34">
        <v>1.53</v>
      </c>
    </row>
    <row r="16" spans="1:13" ht="15.75" thickBot="1">
      <c r="A16" s="41" t="s">
        <v>148</v>
      </c>
      <c r="B16" s="556"/>
      <c r="C16" s="36">
        <v>2.43</v>
      </c>
      <c r="D16" s="37">
        <v>2.06</v>
      </c>
      <c r="E16" s="37">
        <v>1.82</v>
      </c>
      <c r="F16" s="37">
        <v>1.65</v>
      </c>
      <c r="G16" s="37">
        <v>1.62</v>
      </c>
      <c r="H16" s="37">
        <v>1.56</v>
      </c>
      <c r="I16" s="37">
        <v>1.41</v>
      </c>
      <c r="J16" s="37">
        <v>1.41</v>
      </c>
      <c r="K16" s="37">
        <v>1.36</v>
      </c>
      <c r="L16" s="37">
        <v>1.29</v>
      </c>
      <c r="M16" s="38">
        <v>1.27</v>
      </c>
    </row>
  </sheetData>
  <sheetProtection/>
  <mergeCells count="11">
    <mergeCell ref="A13:B13"/>
    <mergeCell ref="C13:M13"/>
    <mergeCell ref="B14:B16"/>
    <mergeCell ref="A6:B6"/>
    <mergeCell ref="C6:M6"/>
    <mergeCell ref="B7:B9"/>
    <mergeCell ref="A2:M2"/>
    <mergeCell ref="A4:A5"/>
    <mergeCell ref="B4:B5"/>
    <mergeCell ref="C4:M4"/>
    <mergeCell ref="B10:B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view="pageBreakPreview" zoomScale="89" zoomScaleSheetLayoutView="89" zoomScalePageLayoutView="0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E52"/>
    </sheetView>
  </sheetViews>
  <sheetFormatPr defaultColWidth="9.140625" defaultRowHeight="15"/>
  <cols>
    <col min="1" max="1" width="9.140625" style="1" customWidth="1"/>
    <col min="2" max="2" width="83.57421875" style="2" customWidth="1"/>
    <col min="3" max="3" width="16.28125" style="1" customWidth="1"/>
    <col min="4" max="4" width="18.7109375" style="1" customWidth="1"/>
    <col min="5" max="5" width="21.421875" style="1" customWidth="1"/>
    <col min="6" max="28" width="0" style="1" hidden="1" customWidth="1"/>
    <col min="29" max="30" width="12.421875" style="1" bestFit="1" customWidth="1"/>
    <col min="31" max="16384" width="9.140625" style="1" customWidth="1"/>
  </cols>
  <sheetData>
    <row r="1" spans="1:5" ht="15">
      <c r="A1" s="42"/>
      <c r="B1" s="43"/>
      <c r="C1" s="42"/>
      <c r="D1" s="42"/>
      <c r="E1" s="42"/>
    </row>
    <row r="2" spans="1:5" ht="15" customHeight="1">
      <c r="A2" s="547" t="s">
        <v>392</v>
      </c>
      <c r="B2" s="547"/>
      <c r="C2" s="42"/>
      <c r="D2" s="548" t="s">
        <v>392</v>
      </c>
      <c r="E2" s="548"/>
    </row>
    <row r="3" spans="1:5" ht="15">
      <c r="A3" s="551" t="s">
        <v>403</v>
      </c>
      <c r="B3" s="547"/>
      <c r="C3" s="42"/>
      <c r="D3" s="552" t="s">
        <v>406</v>
      </c>
      <c r="E3" s="548"/>
    </row>
    <row r="4" spans="1:5" ht="15">
      <c r="A4" s="547" t="s">
        <v>121</v>
      </c>
      <c r="B4" s="547"/>
      <c r="C4" s="548" t="s">
        <v>126</v>
      </c>
      <c r="D4" s="548"/>
      <c r="E4" s="548"/>
    </row>
    <row r="5" spans="1:5" ht="15">
      <c r="A5" s="537" t="s">
        <v>118</v>
      </c>
      <c r="B5" s="537"/>
      <c r="C5" s="42"/>
      <c r="D5" s="537" t="s">
        <v>118</v>
      </c>
      <c r="E5" s="537"/>
    </row>
    <row r="6" spans="1:5" ht="35.25" customHeight="1" thickBot="1">
      <c r="A6" s="550" t="str">
        <f>"Інформація щодо обягів теплової енергії та води на потреби ГВП для категорії споживачів населення  "&amp;Додаток4!A7&amp;""</f>
        <v>Інформація щодо обягів теплової енергії та води на потреби ГВП для категорії споживачів населення  КУЗНЄЦОВСЬКОГО МІСЬКОГО КОМУНАЛЬНОГО ПІДПРИЄМСТВА</v>
      </c>
      <c r="B6" s="550"/>
      <c r="C6" s="550"/>
      <c r="D6" s="550"/>
      <c r="E6" s="550"/>
    </row>
    <row r="7" spans="1:5" ht="15">
      <c r="A7" s="540" t="s">
        <v>28</v>
      </c>
      <c r="B7" s="545" t="s">
        <v>0</v>
      </c>
      <c r="C7" s="538" t="s">
        <v>29</v>
      </c>
      <c r="D7" s="538" t="s">
        <v>27</v>
      </c>
      <c r="E7" s="539"/>
    </row>
    <row r="8" spans="1:5" ht="105">
      <c r="A8" s="541"/>
      <c r="B8" s="546"/>
      <c r="C8" s="549"/>
      <c r="D8" s="5" t="s">
        <v>261</v>
      </c>
      <c r="E8" s="13" t="s">
        <v>262</v>
      </c>
    </row>
    <row r="9" spans="1:5" ht="15.75" thickBot="1">
      <c r="A9" s="26">
        <v>1</v>
      </c>
      <c r="B9" s="44">
        <v>2</v>
      </c>
      <c r="C9" s="45">
        <v>3</v>
      </c>
      <c r="D9" s="45">
        <v>4</v>
      </c>
      <c r="E9" s="46">
        <v>5</v>
      </c>
    </row>
    <row r="10" spans="1:5" ht="30">
      <c r="A10" s="12" t="s">
        <v>8</v>
      </c>
      <c r="B10" s="6" t="s">
        <v>268</v>
      </c>
      <c r="C10" s="7">
        <f>D10+E10</f>
        <v>13744</v>
      </c>
      <c r="D10" s="151">
        <f>D11+D12</f>
        <v>11098</v>
      </c>
      <c r="E10" s="152">
        <f>E11+E12</f>
        <v>2646</v>
      </c>
    </row>
    <row r="11" spans="1:5" ht="15">
      <c r="A11" s="18" t="s">
        <v>266</v>
      </c>
      <c r="B11" s="3" t="s">
        <v>269</v>
      </c>
      <c r="C11" s="4">
        <f>D11+E11</f>
        <v>13744</v>
      </c>
      <c r="D11" s="145">
        <f>10126+590+382</f>
        <v>11098</v>
      </c>
      <c r="E11" s="130">
        <v>2646</v>
      </c>
    </row>
    <row r="12" spans="1:5" ht="15.75" thickBot="1">
      <c r="A12" s="14" t="s">
        <v>267</v>
      </c>
      <c r="B12" s="10" t="s">
        <v>270</v>
      </c>
      <c r="C12" s="11">
        <f>D12+E12</f>
        <v>0</v>
      </c>
      <c r="D12" s="146"/>
      <c r="E12" s="147"/>
    </row>
    <row r="13" spans="1:5" ht="15.75" thickBot="1">
      <c r="A13" s="128" t="s">
        <v>9</v>
      </c>
      <c r="B13" s="153" t="s">
        <v>153</v>
      </c>
      <c r="C13" s="154">
        <f>D13+E13</f>
        <v>42500</v>
      </c>
      <c r="D13" s="155">
        <v>37137</v>
      </c>
      <c r="E13" s="156">
        <f>E16+E19+E22+E25+E28</f>
        <v>5363</v>
      </c>
    </row>
    <row r="14" spans="1:5" ht="32.25" customHeight="1">
      <c r="A14" s="12" t="s">
        <v>13</v>
      </c>
      <c r="B14" s="6" t="s">
        <v>176</v>
      </c>
      <c r="C14" s="7">
        <f>D14+E14</f>
        <v>674436.792</v>
      </c>
      <c r="D14" s="129">
        <v>469656</v>
      </c>
      <c r="E14" s="67">
        <f>E17+E20+E23+E26+E29</f>
        <v>204780.792</v>
      </c>
    </row>
    <row r="15" spans="1:29" ht="15">
      <c r="A15" s="8" t="s">
        <v>154</v>
      </c>
      <c r="B15" s="3" t="s">
        <v>177</v>
      </c>
      <c r="C15" s="4" t="s">
        <v>35</v>
      </c>
      <c r="D15" s="4" t="s">
        <v>35</v>
      </c>
      <c r="E15" s="203">
        <f>120*29.17/1000</f>
        <v>3.5004</v>
      </c>
      <c r="AC15" s="426">
        <f>E15/29.17*1000</f>
        <v>120</v>
      </c>
    </row>
    <row r="16" spans="1:5" ht="15">
      <c r="A16" s="8" t="s">
        <v>155</v>
      </c>
      <c r="B16" s="3" t="s">
        <v>157</v>
      </c>
      <c r="C16" s="4" t="s">
        <v>35</v>
      </c>
      <c r="D16" s="4" t="s">
        <v>35</v>
      </c>
      <c r="E16" s="130">
        <v>5363</v>
      </c>
    </row>
    <row r="17" spans="1:5" ht="15">
      <c r="A17" s="8" t="s">
        <v>156</v>
      </c>
      <c r="B17" s="3" t="s">
        <v>158</v>
      </c>
      <c r="C17" s="4" t="s">
        <v>35</v>
      </c>
      <c r="D17" s="4" t="s">
        <v>35</v>
      </c>
      <c r="E17" s="68">
        <f>E15*E16*($C$42+0.8*$C$43)/29.17</f>
        <v>204780.792</v>
      </c>
    </row>
    <row r="18" spans="1:29" ht="15">
      <c r="A18" s="8" t="s">
        <v>159</v>
      </c>
      <c r="B18" s="3" t="s">
        <v>178</v>
      </c>
      <c r="C18" s="4" t="s">
        <v>35</v>
      </c>
      <c r="D18" s="4" t="s">
        <v>35</v>
      </c>
      <c r="E18" s="203"/>
      <c r="AC18" s="426">
        <f>E18/29.17*1000</f>
        <v>0</v>
      </c>
    </row>
    <row r="19" spans="1:5" ht="15">
      <c r="A19" s="8" t="s">
        <v>160</v>
      </c>
      <c r="B19" s="3" t="s">
        <v>162</v>
      </c>
      <c r="C19" s="4" t="s">
        <v>35</v>
      </c>
      <c r="D19" s="4" t="s">
        <v>35</v>
      </c>
      <c r="E19" s="130"/>
    </row>
    <row r="20" spans="1:5" ht="15">
      <c r="A20" s="8" t="s">
        <v>161</v>
      </c>
      <c r="B20" s="3" t="s">
        <v>163</v>
      </c>
      <c r="C20" s="4" t="s">
        <v>35</v>
      </c>
      <c r="D20" s="4" t="s">
        <v>35</v>
      </c>
      <c r="E20" s="68">
        <f>E18*E19*($C$42+$C$43*0.8)/29.17</f>
        <v>0</v>
      </c>
    </row>
    <row r="21" spans="1:29" ht="15">
      <c r="A21" s="8" t="s">
        <v>165</v>
      </c>
      <c r="B21" s="3" t="s">
        <v>179</v>
      </c>
      <c r="C21" s="4" t="s">
        <v>35</v>
      </c>
      <c r="D21" s="4" t="s">
        <v>35</v>
      </c>
      <c r="E21" s="203"/>
      <c r="AC21" s="426">
        <f>E21/29.17*1000</f>
        <v>0</v>
      </c>
    </row>
    <row r="22" spans="1:5" ht="15">
      <c r="A22" s="8" t="s">
        <v>166</v>
      </c>
      <c r="B22" s="3" t="s">
        <v>164</v>
      </c>
      <c r="C22" s="4" t="s">
        <v>35</v>
      </c>
      <c r="D22" s="4" t="s">
        <v>35</v>
      </c>
      <c r="E22" s="130"/>
    </row>
    <row r="23" spans="1:5" ht="15">
      <c r="A23" s="8" t="s">
        <v>167</v>
      </c>
      <c r="B23" s="3" t="s">
        <v>168</v>
      </c>
      <c r="C23" s="4" t="s">
        <v>35</v>
      </c>
      <c r="D23" s="4" t="s">
        <v>35</v>
      </c>
      <c r="E23" s="68">
        <f>E21*E22*($C$42+$C$43*0.8)/29.17</f>
        <v>0</v>
      </c>
    </row>
    <row r="24" spans="1:29" ht="15">
      <c r="A24" s="8" t="s">
        <v>171</v>
      </c>
      <c r="B24" s="3" t="s">
        <v>180</v>
      </c>
      <c r="C24" s="4" t="s">
        <v>35</v>
      </c>
      <c r="D24" s="4" t="s">
        <v>35</v>
      </c>
      <c r="E24" s="203">
        <v>0</v>
      </c>
      <c r="AC24" s="426">
        <f>E24/29.17*1000</f>
        <v>0</v>
      </c>
    </row>
    <row r="25" spans="1:5" ht="15">
      <c r="A25" s="8" t="s">
        <v>172</v>
      </c>
      <c r="B25" s="3" t="s">
        <v>169</v>
      </c>
      <c r="C25" s="4" t="s">
        <v>35</v>
      </c>
      <c r="D25" s="4" t="s">
        <v>35</v>
      </c>
      <c r="E25" s="130">
        <v>0</v>
      </c>
    </row>
    <row r="26" spans="1:5" ht="15">
      <c r="A26" s="8" t="s">
        <v>173</v>
      </c>
      <c r="B26" s="3" t="s">
        <v>170</v>
      </c>
      <c r="C26" s="4" t="s">
        <v>35</v>
      </c>
      <c r="D26" s="4" t="s">
        <v>35</v>
      </c>
      <c r="E26" s="68">
        <f>E24*E25*($C$42+$C$43*0.8)/29.17</f>
        <v>0</v>
      </c>
    </row>
    <row r="27" spans="1:29" ht="15">
      <c r="A27" s="8" t="s">
        <v>275</v>
      </c>
      <c r="B27" s="3" t="s">
        <v>181</v>
      </c>
      <c r="C27" s="4" t="s">
        <v>35</v>
      </c>
      <c r="D27" s="4" t="s">
        <v>35</v>
      </c>
      <c r="E27" s="203">
        <v>0</v>
      </c>
      <c r="AC27" s="426">
        <f>E27/29.17*1000</f>
        <v>0</v>
      </c>
    </row>
    <row r="28" spans="1:5" ht="15">
      <c r="A28" s="8" t="s">
        <v>276</v>
      </c>
      <c r="B28" s="3" t="s">
        <v>174</v>
      </c>
      <c r="C28" s="4" t="s">
        <v>35</v>
      </c>
      <c r="D28" s="4" t="s">
        <v>35</v>
      </c>
      <c r="E28" s="130">
        <v>0</v>
      </c>
    </row>
    <row r="29" spans="1:5" ht="15.75" thickBot="1">
      <c r="A29" s="8" t="s">
        <v>277</v>
      </c>
      <c r="B29" s="22" t="s">
        <v>175</v>
      </c>
      <c r="C29" s="23" t="s">
        <v>35</v>
      </c>
      <c r="D29" s="23" t="s">
        <v>35</v>
      </c>
      <c r="E29" s="158">
        <f>E27*E28*($C$42+$C$43*0.8)/29.17</f>
        <v>0</v>
      </c>
    </row>
    <row r="30" spans="1:5" ht="45">
      <c r="A30" s="54" t="s">
        <v>18</v>
      </c>
      <c r="B30" s="6" t="s">
        <v>263</v>
      </c>
      <c r="C30" s="7">
        <f aca="true" t="shared" si="0" ref="C30:C37">D30+E30</f>
        <v>674436.792</v>
      </c>
      <c r="D30" s="129">
        <f>D14</f>
        <v>469656</v>
      </c>
      <c r="E30" s="129">
        <f>E14</f>
        <v>204780.792</v>
      </c>
    </row>
    <row r="31" spans="1:5" ht="45.75" thickBot="1">
      <c r="A31" s="56" t="s">
        <v>25</v>
      </c>
      <c r="B31" s="10" t="s">
        <v>254</v>
      </c>
      <c r="C31" s="11">
        <f t="shared" si="0"/>
        <v>0</v>
      </c>
      <c r="D31" s="19">
        <f>D14-D30</f>
        <v>0</v>
      </c>
      <c r="E31" s="20">
        <f>E14-E30</f>
        <v>0</v>
      </c>
    </row>
    <row r="32" spans="1:5" ht="15">
      <c r="A32" s="159" t="s">
        <v>32</v>
      </c>
      <c r="B32" s="47" t="s">
        <v>255</v>
      </c>
      <c r="C32" s="48">
        <f t="shared" si="0"/>
        <v>674436.792</v>
      </c>
      <c r="D32" s="160">
        <f>D14</f>
        <v>469656</v>
      </c>
      <c r="E32" s="161">
        <f>E14</f>
        <v>204780.792</v>
      </c>
    </row>
    <row r="33" spans="1:28" ht="30">
      <c r="A33" s="57" t="s">
        <v>48</v>
      </c>
      <c r="B33" s="47" t="s">
        <v>264</v>
      </c>
      <c r="C33" s="48">
        <f t="shared" si="0"/>
        <v>674436.7919999999</v>
      </c>
      <c r="D33" s="52">
        <f>IF(D14=0,0,D30*D32/D14)</f>
        <v>469656</v>
      </c>
      <c r="E33" s="55">
        <f>IF(E14=0,0,E30*E32/E14)</f>
        <v>204780.79199999996</v>
      </c>
      <c r="F33" s="53">
        <f aca="true" t="shared" si="1" ref="F33:AB33">IF(F14=0,0,F30*F32/F14)</f>
        <v>0</v>
      </c>
      <c r="G33" s="52">
        <f t="shared" si="1"/>
        <v>0</v>
      </c>
      <c r="H33" s="52">
        <f t="shared" si="1"/>
        <v>0</v>
      </c>
      <c r="I33" s="52">
        <f t="shared" si="1"/>
        <v>0</v>
      </c>
      <c r="J33" s="52">
        <f t="shared" si="1"/>
        <v>0</v>
      </c>
      <c r="K33" s="52">
        <f t="shared" si="1"/>
        <v>0</v>
      </c>
      <c r="L33" s="52">
        <f t="shared" si="1"/>
        <v>0</v>
      </c>
      <c r="M33" s="52">
        <f t="shared" si="1"/>
        <v>0</v>
      </c>
      <c r="N33" s="52">
        <f t="shared" si="1"/>
        <v>0</v>
      </c>
      <c r="O33" s="52">
        <f t="shared" si="1"/>
        <v>0</v>
      </c>
      <c r="P33" s="52">
        <f t="shared" si="1"/>
        <v>0</v>
      </c>
      <c r="Q33" s="52">
        <f t="shared" si="1"/>
        <v>0</v>
      </c>
      <c r="R33" s="52">
        <f t="shared" si="1"/>
        <v>0</v>
      </c>
      <c r="S33" s="52">
        <f t="shared" si="1"/>
        <v>0</v>
      </c>
      <c r="T33" s="52">
        <f t="shared" si="1"/>
        <v>0</v>
      </c>
      <c r="U33" s="52">
        <f t="shared" si="1"/>
        <v>0</v>
      </c>
      <c r="V33" s="52">
        <f t="shared" si="1"/>
        <v>0</v>
      </c>
      <c r="W33" s="52">
        <f t="shared" si="1"/>
        <v>0</v>
      </c>
      <c r="X33" s="52">
        <f t="shared" si="1"/>
        <v>0</v>
      </c>
      <c r="Y33" s="52">
        <f t="shared" si="1"/>
        <v>0</v>
      </c>
      <c r="Z33" s="52">
        <f t="shared" si="1"/>
        <v>0</v>
      </c>
      <c r="AA33" s="52">
        <f t="shared" si="1"/>
        <v>0</v>
      </c>
      <c r="AB33" s="52">
        <f t="shared" si="1"/>
        <v>0</v>
      </c>
    </row>
    <row r="34" spans="1:5" ht="30.75" thickBot="1">
      <c r="A34" s="58" t="s">
        <v>49</v>
      </c>
      <c r="B34" s="50" t="s">
        <v>265</v>
      </c>
      <c r="C34" s="51">
        <f t="shared" si="0"/>
        <v>0</v>
      </c>
      <c r="D34" s="59">
        <f>IF(D14=0,0,D31*D32/D14)</f>
        <v>0</v>
      </c>
      <c r="E34" s="60">
        <f>IF(E14=0,0,E31*E32/E14)</f>
        <v>0</v>
      </c>
    </row>
    <row r="35" spans="1:5" ht="30">
      <c r="A35" s="54" t="s">
        <v>33</v>
      </c>
      <c r="B35" s="6" t="s">
        <v>272</v>
      </c>
      <c r="C35" s="7">
        <f t="shared" si="0"/>
        <v>48376.55544368914</v>
      </c>
      <c r="D35" s="7">
        <f>D36+D37</f>
        <v>33595.851656777144</v>
      </c>
      <c r="E35" s="195">
        <f>E36+E37</f>
        <v>14780.703786911998</v>
      </c>
    </row>
    <row r="36" spans="1:29" ht="30">
      <c r="A36" s="49" t="s">
        <v>51</v>
      </c>
      <c r="B36" s="3" t="s">
        <v>264</v>
      </c>
      <c r="C36" s="4">
        <f t="shared" si="0"/>
        <v>48376.55544368914</v>
      </c>
      <c r="D36" s="4">
        <f>(IF($C$42+$C$43=0,0,D33*1.2*($C$42*(70-C46)+$C$43*(70-C47))/($C$42+$C$43)/1000))*0.986</f>
        <v>33595.851656777144</v>
      </c>
      <c r="E36" s="197">
        <f>(IF($C$42+$C$43=0,0,E33*1.2*($C$42*(70-5)+$C$43*0.8*(70-15))/($C$42+$C$43*0.8)/1000))*0.986</f>
        <v>14780.703786911998</v>
      </c>
      <c r="AC36" s="196"/>
    </row>
    <row r="37" spans="1:5" ht="30.75" thickBot="1">
      <c r="A37" s="61" t="s">
        <v>52</v>
      </c>
      <c r="B37" s="22" t="s">
        <v>265</v>
      </c>
      <c r="C37" s="23">
        <f t="shared" si="0"/>
        <v>0</v>
      </c>
      <c r="D37" s="11">
        <f>(IF($C$42+$C$43=0,0,D34*1.1*($C$42*(55-C46)+$C$43*(55-C47))/($C$42+$C$43)/1000))*0.986</f>
        <v>0</v>
      </c>
      <c r="E37" s="198">
        <f>(IF($C$42+$C$43=0,0,E34*1.1*($C$42*(55-5)+$C$43*0.8*(55-15))/($C$42+$C$43*0.8)/1000))*0.986</f>
        <v>0</v>
      </c>
    </row>
    <row r="38" spans="1:5" ht="30">
      <c r="A38" s="12">
        <v>9</v>
      </c>
      <c r="B38" s="6" t="s">
        <v>256</v>
      </c>
      <c r="C38" s="169">
        <f>(IF(C14=0,0,C35/C14))</f>
        <v>0.07172882028015035</v>
      </c>
      <c r="D38" s="169">
        <f>(IF(D14=0,0,D35/D14))</f>
        <v>0.07153289142857143</v>
      </c>
      <c r="E38" s="170">
        <f>(IF(E14=0,0,E35/E14))</f>
        <v>0.0721781747328724</v>
      </c>
    </row>
    <row r="39" spans="1:5" ht="30.75" thickBot="1">
      <c r="A39" s="18" t="s">
        <v>55</v>
      </c>
      <c r="B39" s="3" t="s">
        <v>264</v>
      </c>
      <c r="C39" s="171">
        <f>IF(C30=0,0,C36/C30)</f>
        <v>0.07172882028015035</v>
      </c>
      <c r="D39" s="171">
        <f>IF(D30=0,0,D36/D30)</f>
        <v>0.07153289142857143</v>
      </c>
      <c r="E39" s="184">
        <f>IF(E30=0,0,E36/E30)</f>
        <v>0.0721781747328724</v>
      </c>
    </row>
    <row r="40" spans="1:28" ht="30.75" thickBot="1">
      <c r="A40" s="14" t="s">
        <v>56</v>
      </c>
      <c r="B40" s="10" t="s">
        <v>265</v>
      </c>
      <c r="C40" s="173">
        <f>IF(C31=0,0,C37/C31)</f>
        <v>0</v>
      </c>
      <c r="D40" s="173">
        <f aca="true" t="shared" si="2" ref="D40:AB40">IF(D31=0,0,D37/D31)</f>
        <v>0</v>
      </c>
      <c r="E40" s="189">
        <f t="shared" si="2"/>
        <v>0</v>
      </c>
      <c r="F40" s="62">
        <f t="shared" si="2"/>
        <v>0</v>
      </c>
      <c r="G40" s="7">
        <f t="shared" si="2"/>
        <v>0</v>
      </c>
      <c r="H40" s="7">
        <f t="shared" si="2"/>
        <v>0</v>
      </c>
      <c r="I40" s="7">
        <f t="shared" si="2"/>
        <v>0</v>
      </c>
      <c r="J40" s="7">
        <f t="shared" si="2"/>
        <v>0</v>
      </c>
      <c r="K40" s="7">
        <f t="shared" si="2"/>
        <v>0</v>
      </c>
      <c r="L40" s="7">
        <f t="shared" si="2"/>
        <v>0</v>
      </c>
      <c r="M40" s="7">
        <f t="shared" si="2"/>
        <v>0</v>
      </c>
      <c r="N40" s="7">
        <f t="shared" si="2"/>
        <v>0</v>
      </c>
      <c r="O40" s="7">
        <f t="shared" si="2"/>
        <v>0</v>
      </c>
      <c r="P40" s="7">
        <f t="shared" si="2"/>
        <v>0</v>
      </c>
      <c r="Q40" s="7">
        <f t="shared" si="2"/>
        <v>0</v>
      </c>
      <c r="R40" s="7">
        <f t="shared" si="2"/>
        <v>0</v>
      </c>
      <c r="S40" s="7">
        <f t="shared" si="2"/>
        <v>0</v>
      </c>
      <c r="T40" s="7">
        <f t="shared" si="2"/>
        <v>0</v>
      </c>
      <c r="U40" s="7">
        <f t="shared" si="2"/>
        <v>0</v>
      </c>
      <c r="V40" s="7">
        <f t="shared" si="2"/>
        <v>0</v>
      </c>
      <c r="W40" s="7">
        <f t="shared" si="2"/>
        <v>0</v>
      </c>
      <c r="X40" s="7">
        <f t="shared" si="2"/>
        <v>0</v>
      </c>
      <c r="Y40" s="7">
        <f t="shared" si="2"/>
        <v>0</v>
      </c>
      <c r="Z40" s="7">
        <f t="shared" si="2"/>
        <v>0</v>
      </c>
      <c r="AA40" s="7">
        <f t="shared" si="2"/>
        <v>0</v>
      </c>
      <c r="AB40" s="7">
        <f t="shared" si="2"/>
        <v>0</v>
      </c>
    </row>
    <row r="41" spans="1:5" ht="43.5" thickBot="1">
      <c r="A41" s="63">
        <v>10</v>
      </c>
      <c r="B41" s="64" t="s">
        <v>182</v>
      </c>
      <c r="C41" s="65">
        <f>'д.2 тарифи 869 пост за табл 7.1'!C23</f>
        <v>0</v>
      </c>
      <c r="D41" s="65" t="s">
        <v>35</v>
      </c>
      <c r="E41" s="66" t="s">
        <v>35</v>
      </c>
    </row>
    <row r="42" spans="1:5" ht="15">
      <c r="A42" s="12" t="s">
        <v>221</v>
      </c>
      <c r="B42" s="6" t="s">
        <v>288</v>
      </c>
      <c r="C42" s="570">
        <f>'д.2 тарифи 869 пост за табл 7.1'!C26</f>
        <v>191</v>
      </c>
      <c r="D42" s="570"/>
      <c r="E42" s="571"/>
    </row>
    <row r="43" spans="1:5" ht="20.25" customHeight="1">
      <c r="A43" s="18" t="s">
        <v>222</v>
      </c>
      <c r="B43" s="3" t="s">
        <v>289</v>
      </c>
      <c r="C43" s="572">
        <f>350-C42</f>
        <v>159</v>
      </c>
      <c r="D43" s="572"/>
      <c r="E43" s="573"/>
    </row>
    <row r="44" spans="1:5" ht="32.25" customHeight="1">
      <c r="A44" s="18" t="s">
        <v>224</v>
      </c>
      <c r="B44" s="3" t="s">
        <v>290</v>
      </c>
      <c r="C44" s="572">
        <v>24</v>
      </c>
      <c r="D44" s="572"/>
      <c r="E44" s="573"/>
    </row>
    <row r="45" spans="1:5" ht="32.25" customHeight="1" thickBot="1">
      <c r="A45" s="26" t="s">
        <v>227</v>
      </c>
      <c r="B45" s="22" t="s">
        <v>291</v>
      </c>
      <c r="C45" s="574">
        <v>24</v>
      </c>
      <c r="D45" s="574"/>
      <c r="E45" s="575"/>
    </row>
    <row r="46" spans="1:5" ht="16.5" customHeight="1">
      <c r="A46" s="12" t="s">
        <v>273</v>
      </c>
      <c r="B46" s="6" t="s">
        <v>283</v>
      </c>
      <c r="C46" s="570">
        <v>5</v>
      </c>
      <c r="D46" s="570"/>
      <c r="E46" s="571"/>
    </row>
    <row r="47" spans="1:5" ht="18.75" customHeight="1" thickBot="1">
      <c r="A47" s="14" t="s">
        <v>274</v>
      </c>
      <c r="B47" s="10" t="s">
        <v>282</v>
      </c>
      <c r="C47" s="576">
        <v>15</v>
      </c>
      <c r="D47" s="576"/>
      <c r="E47" s="577"/>
    </row>
    <row r="48" spans="1:5" ht="15">
      <c r="A48" s="42"/>
      <c r="B48" s="43"/>
      <c r="C48" s="42"/>
      <c r="D48" s="42"/>
      <c r="E48" s="42"/>
    </row>
    <row r="49" spans="1:5" ht="15">
      <c r="A49" s="42"/>
      <c r="B49" s="43" t="s">
        <v>38</v>
      </c>
      <c r="C49" s="42" t="s">
        <v>39</v>
      </c>
      <c r="D49" s="524" t="s">
        <v>400</v>
      </c>
      <c r="E49" s="525"/>
    </row>
    <row r="50" spans="1:5" ht="15">
      <c r="A50" s="42"/>
      <c r="B50" s="43"/>
      <c r="C50" s="42" t="s">
        <v>42</v>
      </c>
      <c r="D50" s="525" t="s">
        <v>41</v>
      </c>
      <c r="E50" s="525"/>
    </row>
    <row r="51" spans="1:5" ht="15">
      <c r="A51" s="42"/>
      <c r="B51" s="43" t="s">
        <v>43</v>
      </c>
      <c r="C51" s="490" t="s">
        <v>405</v>
      </c>
      <c r="D51" s="490" t="s">
        <v>402</v>
      </c>
      <c r="E51" s="42"/>
    </row>
    <row r="52" spans="1:5" ht="15">
      <c r="A52" s="42"/>
      <c r="B52" s="43"/>
      <c r="C52" s="42" t="s">
        <v>44</v>
      </c>
      <c r="D52" s="42" t="s">
        <v>41</v>
      </c>
      <c r="E52" s="42" t="s">
        <v>47</v>
      </c>
    </row>
  </sheetData>
  <sheetProtection password="CC5D" sheet="1"/>
  <mergeCells count="21">
    <mergeCell ref="D49:E49"/>
    <mergeCell ref="D50:E50"/>
    <mergeCell ref="C42:E42"/>
    <mergeCell ref="C43:E43"/>
    <mergeCell ref="C44:E44"/>
    <mergeCell ref="C45:E45"/>
    <mergeCell ref="C46:E46"/>
    <mergeCell ref="C47:E47"/>
    <mergeCell ref="A5:B5"/>
    <mergeCell ref="D5:E5"/>
    <mergeCell ref="A6:E6"/>
    <mergeCell ref="A7:A8"/>
    <mergeCell ref="B7:B8"/>
    <mergeCell ref="C7:C8"/>
    <mergeCell ref="D7:E7"/>
    <mergeCell ref="A4:B4"/>
    <mergeCell ref="C4:E4"/>
    <mergeCell ref="A2:B2"/>
    <mergeCell ref="D2:E2"/>
    <mergeCell ref="A3:B3"/>
    <mergeCell ref="D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zoomScale="75" zoomScaleNormal="75"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9" sqref="M19"/>
    </sheetView>
  </sheetViews>
  <sheetFormatPr defaultColWidth="9.140625" defaultRowHeight="15"/>
  <cols>
    <col min="1" max="1" width="7.140625" style="99" customWidth="1"/>
    <col min="2" max="2" width="79.00390625" style="69" customWidth="1"/>
    <col min="3" max="3" width="15.140625" style="69" customWidth="1"/>
    <col min="4" max="4" width="15.421875" style="69" customWidth="1"/>
    <col min="5" max="5" width="9.8515625" style="69" customWidth="1"/>
    <col min="6" max="6" width="13.140625" style="69" customWidth="1"/>
    <col min="7" max="8" width="9.57421875" style="69" customWidth="1"/>
    <col min="9" max="9" width="12.8515625" style="69" customWidth="1"/>
    <col min="10" max="10" width="9.7109375" style="69" customWidth="1"/>
    <col min="11" max="11" width="12.7109375" style="69" customWidth="1"/>
    <col min="12" max="12" width="10.421875" style="69" customWidth="1"/>
    <col min="13" max="13" width="13.57421875" style="69" customWidth="1"/>
    <col min="14" max="14" width="10.421875" style="69" customWidth="1"/>
    <col min="15" max="15" width="12.8515625" style="69" customWidth="1"/>
    <col min="16" max="16" width="10.421875" style="69" customWidth="1"/>
    <col min="17" max="17" width="9.140625" style="69" customWidth="1"/>
    <col min="18" max="18" width="12.00390625" style="69" customWidth="1"/>
    <col min="19" max="16384" width="9.140625" style="69" customWidth="1"/>
  </cols>
  <sheetData>
    <row r="1" spans="1:16" ht="15">
      <c r="A1" s="586" t="s">
        <v>271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</row>
    <row r="2" spans="1:16" ht="15.75" thickBot="1">
      <c r="A2" s="587" t="str">
        <f>Додаток4!A7</f>
        <v>КУЗНЄЦОВСЬКОГО МІСЬКОГО КОМУНАЛЬНОГО ПІДПРИЄМСТВА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</row>
    <row r="3" spans="1:16" s="70" customFormat="1" ht="15">
      <c r="A3" s="588" t="s">
        <v>28</v>
      </c>
      <c r="B3" s="545" t="s">
        <v>183</v>
      </c>
      <c r="C3" s="592" t="s">
        <v>184</v>
      </c>
      <c r="D3" s="595" t="s">
        <v>27</v>
      </c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6"/>
    </row>
    <row r="4" spans="1:16" s="70" customFormat="1" ht="15" customHeight="1">
      <c r="A4" s="589"/>
      <c r="B4" s="591"/>
      <c r="C4" s="593"/>
      <c r="D4" s="579" t="s">
        <v>185</v>
      </c>
      <c r="E4" s="549" t="s">
        <v>186</v>
      </c>
      <c r="F4" s="549" t="s">
        <v>27</v>
      </c>
      <c r="G4" s="549"/>
      <c r="H4" s="549"/>
      <c r="I4" s="549"/>
      <c r="J4" s="549"/>
      <c r="K4" s="579" t="s">
        <v>251</v>
      </c>
      <c r="L4" s="549" t="s">
        <v>187</v>
      </c>
      <c r="M4" s="549" t="s">
        <v>27</v>
      </c>
      <c r="N4" s="549"/>
      <c r="O4" s="549"/>
      <c r="P4" s="585"/>
    </row>
    <row r="5" spans="1:16" s="70" customFormat="1" ht="15" customHeight="1">
      <c r="A5" s="589"/>
      <c r="B5" s="591"/>
      <c r="C5" s="593"/>
      <c r="D5" s="579"/>
      <c r="E5" s="549"/>
      <c r="F5" s="578" t="s">
        <v>188</v>
      </c>
      <c r="G5" s="523" t="s">
        <v>292</v>
      </c>
      <c r="H5" s="523"/>
      <c r="I5" s="549" t="s">
        <v>189</v>
      </c>
      <c r="J5" s="549" t="s">
        <v>186</v>
      </c>
      <c r="K5" s="579"/>
      <c r="L5" s="549"/>
      <c r="M5" s="578" t="s">
        <v>238</v>
      </c>
      <c r="N5" s="578" t="s">
        <v>187</v>
      </c>
      <c r="O5" s="578" t="s">
        <v>239</v>
      </c>
      <c r="P5" s="580" t="s">
        <v>187</v>
      </c>
    </row>
    <row r="6" spans="1:16" s="70" customFormat="1" ht="60.75" customHeight="1">
      <c r="A6" s="589"/>
      <c r="B6" s="591"/>
      <c r="C6" s="594"/>
      <c r="D6" s="579"/>
      <c r="E6" s="549"/>
      <c r="F6" s="546"/>
      <c r="G6" s="192" t="s">
        <v>293</v>
      </c>
      <c r="H6" s="192" t="s">
        <v>294</v>
      </c>
      <c r="I6" s="549"/>
      <c r="J6" s="549"/>
      <c r="K6" s="579"/>
      <c r="L6" s="549"/>
      <c r="M6" s="546"/>
      <c r="N6" s="546"/>
      <c r="O6" s="546"/>
      <c r="P6" s="581"/>
    </row>
    <row r="7" spans="1:16" s="70" customFormat="1" ht="30">
      <c r="A7" s="590"/>
      <c r="B7" s="546"/>
      <c r="C7" s="5" t="s">
        <v>190</v>
      </c>
      <c r="D7" s="5" t="s">
        <v>190</v>
      </c>
      <c r="E7" s="5" t="s">
        <v>191</v>
      </c>
      <c r="F7" s="5" t="s">
        <v>190</v>
      </c>
      <c r="G7" s="5" t="s">
        <v>191</v>
      </c>
      <c r="H7" s="192" t="s">
        <v>295</v>
      </c>
      <c r="I7" s="5" t="s">
        <v>190</v>
      </c>
      <c r="J7" s="5" t="s">
        <v>191</v>
      </c>
      <c r="K7" s="5" t="s">
        <v>190</v>
      </c>
      <c r="L7" s="5" t="s">
        <v>192</v>
      </c>
      <c r="M7" s="5" t="s">
        <v>190</v>
      </c>
      <c r="N7" s="5" t="s">
        <v>192</v>
      </c>
      <c r="O7" s="5" t="s">
        <v>190</v>
      </c>
      <c r="P7" s="13" t="s">
        <v>192</v>
      </c>
    </row>
    <row r="8" spans="1:16" s="70" customFormat="1" ht="15.75" thickBot="1">
      <c r="A8" s="128">
        <v>1</v>
      </c>
      <c r="B8" s="15">
        <v>2</v>
      </c>
      <c r="C8" s="16">
        <v>3</v>
      </c>
      <c r="D8" s="16" t="s">
        <v>193</v>
      </c>
      <c r="E8" s="16"/>
      <c r="F8" s="16" t="s">
        <v>194</v>
      </c>
      <c r="G8" s="16"/>
      <c r="H8" s="16"/>
      <c r="I8" s="16" t="s">
        <v>195</v>
      </c>
      <c r="J8" s="16"/>
      <c r="K8" s="16" t="s">
        <v>196</v>
      </c>
      <c r="L8" s="16"/>
      <c r="M8" s="16" t="s">
        <v>197</v>
      </c>
      <c r="N8" s="16"/>
      <c r="O8" s="16" t="s">
        <v>198</v>
      </c>
      <c r="P8" s="17"/>
    </row>
    <row r="9" spans="1:16" ht="30">
      <c r="A9" s="117" t="s">
        <v>8</v>
      </c>
      <c r="B9" s="118" t="s">
        <v>257</v>
      </c>
      <c r="C9" s="119">
        <f>D9+K9</f>
        <v>15476.817196786938</v>
      </c>
      <c r="D9" s="120">
        <f>F9+I9</f>
        <v>10964.735870554054</v>
      </c>
      <c r="E9" s="121">
        <f aca="true" t="shared" si="0" ref="E9:E14">IF($D$34=0,0,D9/$D$34)</f>
        <v>16.67533917309321</v>
      </c>
      <c r="F9" s="122">
        <f>F30*$C$32/1000</f>
        <v>3066.5310600000003</v>
      </c>
      <c r="G9" s="121">
        <f aca="true" t="shared" si="1" ref="G9:G14">IF($F$34=0,0,F9/$F$34)</f>
        <v>16.97526701246077</v>
      </c>
      <c r="H9" s="193">
        <f aca="true" t="shared" si="2" ref="H9:H14">IF($F$30=0,0,F9/$F$30)*1000</f>
        <v>93.27000000000001</v>
      </c>
      <c r="I9" s="122">
        <f>I30*$C$32/1000</f>
        <v>7898.204810554053</v>
      </c>
      <c r="J9" s="121">
        <f aca="true" t="shared" si="3" ref="J9:J14">IF($I$34=0,0,I9/$I$34)</f>
        <v>16.561727027027025</v>
      </c>
      <c r="K9" s="123">
        <f>M9+O9</f>
        <v>4512.081326232886</v>
      </c>
      <c r="L9" s="121">
        <f>IF($K$35=0,0,K9/$K$35)</f>
        <v>6.690147067529622</v>
      </c>
      <c r="M9" s="122">
        <f>M30*$C$32/1000</f>
        <v>4512.081326232886</v>
      </c>
      <c r="N9" s="121">
        <f>IF($M$35=0,0,M9/$M$35)</f>
        <v>6.690147067529622</v>
      </c>
      <c r="O9" s="122">
        <f>O30*$C$32/1000</f>
        <v>0</v>
      </c>
      <c r="P9" s="124">
        <f>IF($O$35=0,0,O9/$O$35)</f>
        <v>0</v>
      </c>
    </row>
    <row r="10" spans="1:16" ht="15">
      <c r="A10" s="105" t="s">
        <v>9</v>
      </c>
      <c r="B10" s="72" t="s">
        <v>199</v>
      </c>
      <c r="C10" s="73">
        <f>D10+K10</f>
        <v>806.7928319999999</v>
      </c>
      <c r="D10" s="74">
        <f aca="true" t="shared" si="4" ref="D10:D42">F10+I10</f>
        <v>358.57459199999994</v>
      </c>
      <c r="E10" s="75">
        <f t="shared" si="0"/>
        <v>0.5453257617003933</v>
      </c>
      <c r="F10" s="77">
        <f>F11+F12+F13</f>
        <v>268.93094399999995</v>
      </c>
      <c r="G10" s="75">
        <f t="shared" si="1"/>
        <v>1.4887097156332514</v>
      </c>
      <c r="H10" s="75">
        <f t="shared" si="2"/>
        <v>8.179662509885027</v>
      </c>
      <c r="I10" s="77">
        <f>I11+I12+I13</f>
        <v>89.64364799999998</v>
      </c>
      <c r="J10" s="75">
        <f t="shared" si="3"/>
        <v>0.18797355392696502</v>
      </c>
      <c r="K10" s="77">
        <f aca="true" t="shared" si="5" ref="K10:K42">M10+O10</f>
        <v>448.21824</v>
      </c>
      <c r="L10" s="75">
        <f aca="true" t="shared" si="6" ref="L10:L24">IF($K$35=0,0,K10/$K$35)</f>
        <v>0.6645815372421141</v>
      </c>
      <c r="M10" s="77">
        <f>M11+M12+M13</f>
        <v>448.21824</v>
      </c>
      <c r="N10" s="75">
        <f aca="true" t="shared" si="7" ref="N10:N24">IF($M$35=0,0,M10/$M$35)</f>
        <v>0.6645815372421141</v>
      </c>
      <c r="O10" s="77">
        <f>O11+O12+O13</f>
        <v>0</v>
      </c>
      <c r="P10" s="125">
        <f aca="true" t="shared" si="8" ref="P10:P24">IF($O$35=0,0,O10/$O$35)</f>
        <v>0</v>
      </c>
    </row>
    <row r="11" spans="1:16" ht="15">
      <c r="A11" s="105" t="s">
        <v>200</v>
      </c>
      <c r="B11" s="72" t="s">
        <v>201</v>
      </c>
      <c r="C11" s="73">
        <f>D11+K11</f>
        <v>661.3055999999999</v>
      </c>
      <c r="D11" s="74">
        <f t="shared" si="4"/>
        <v>293.9136</v>
      </c>
      <c r="E11" s="75">
        <f t="shared" si="0"/>
        <v>0.44698832926261745</v>
      </c>
      <c r="F11" s="103">
        <f>(F38+F41)*F43*12/1000</f>
        <v>220.43519999999998</v>
      </c>
      <c r="G11" s="75">
        <f t="shared" si="1"/>
        <v>1.220253865273157</v>
      </c>
      <c r="H11" s="75">
        <f t="shared" si="2"/>
        <v>6.704641401545105</v>
      </c>
      <c r="I11" s="103">
        <f>(I38+I41)*I43*12/1000</f>
        <v>73.4784</v>
      </c>
      <c r="J11" s="75">
        <f t="shared" si="3"/>
        <v>0.15407668354669266</v>
      </c>
      <c r="K11" s="77">
        <f t="shared" si="5"/>
        <v>367.392</v>
      </c>
      <c r="L11" s="75">
        <f t="shared" si="6"/>
        <v>0.5447389649525526</v>
      </c>
      <c r="M11" s="103">
        <f>(M38+M41)*M43*12/1000</f>
        <v>367.392</v>
      </c>
      <c r="N11" s="75">
        <f t="shared" si="7"/>
        <v>0.5447389649525526</v>
      </c>
      <c r="O11" s="103">
        <f>(O38+O41)*O43*12/1000</f>
        <v>0</v>
      </c>
      <c r="P11" s="125">
        <f t="shared" si="8"/>
        <v>0</v>
      </c>
    </row>
    <row r="12" spans="1:19" ht="15">
      <c r="A12" s="105" t="s">
        <v>202</v>
      </c>
      <c r="B12" s="72" t="s">
        <v>203</v>
      </c>
      <c r="C12" s="73">
        <f>D12+K12</f>
        <v>145.487232</v>
      </c>
      <c r="D12" s="74">
        <f t="shared" si="4"/>
        <v>64.660992</v>
      </c>
      <c r="E12" s="75">
        <f t="shared" si="0"/>
        <v>0.09833743243777585</v>
      </c>
      <c r="F12" s="135">
        <f>F11*0.22</f>
        <v>48.495743999999995</v>
      </c>
      <c r="G12" s="75">
        <f t="shared" si="1"/>
        <v>0.26845585036009456</v>
      </c>
      <c r="H12" s="75">
        <f t="shared" si="2"/>
        <v>1.4750211083399232</v>
      </c>
      <c r="I12" s="135">
        <f>I11*0.22</f>
        <v>16.165248</v>
      </c>
      <c r="J12" s="75">
        <f t="shared" si="3"/>
        <v>0.033896870380272386</v>
      </c>
      <c r="K12" s="77">
        <f t="shared" si="5"/>
        <v>80.82624</v>
      </c>
      <c r="L12" s="75">
        <f t="shared" si="6"/>
        <v>0.11984257228956158</v>
      </c>
      <c r="M12" s="135">
        <f>M11*0.22</f>
        <v>80.82624</v>
      </c>
      <c r="N12" s="75">
        <f t="shared" si="7"/>
        <v>0.11984257228956158</v>
      </c>
      <c r="O12" s="135"/>
      <c r="P12" s="125">
        <f t="shared" si="8"/>
        <v>0</v>
      </c>
      <c r="Q12" s="69">
        <v>22</v>
      </c>
      <c r="R12" s="69">
        <f>G12/G11*100</f>
        <v>22.000000000000004</v>
      </c>
      <c r="S12" s="69">
        <f>H12/H11*100</f>
        <v>22</v>
      </c>
    </row>
    <row r="13" spans="1:16" ht="15">
      <c r="A13" s="105" t="s">
        <v>204</v>
      </c>
      <c r="B13" s="72" t="s">
        <v>205</v>
      </c>
      <c r="C13" s="73"/>
      <c r="D13" s="74">
        <f t="shared" si="4"/>
        <v>0</v>
      </c>
      <c r="E13" s="75">
        <f t="shared" si="0"/>
        <v>0</v>
      </c>
      <c r="F13" s="103">
        <f>IF($C$9+$C$15=0,0,C13*F9/($C$9+$C$15))</f>
        <v>0</v>
      </c>
      <c r="G13" s="75">
        <f t="shared" si="1"/>
        <v>0</v>
      </c>
      <c r="H13" s="75">
        <f t="shared" si="2"/>
        <v>0</v>
      </c>
      <c r="I13" s="103">
        <f>IF($C$9+$C$15=0,0,C13*I9/($C$9+$C$15))</f>
        <v>0</v>
      </c>
      <c r="J13" s="75">
        <f t="shared" si="3"/>
        <v>0</v>
      </c>
      <c r="K13" s="77">
        <f t="shared" si="5"/>
        <v>0</v>
      </c>
      <c r="L13" s="75">
        <f t="shared" si="6"/>
        <v>0</v>
      </c>
      <c r="M13" s="103">
        <f>IF($C$9+$C$15=0,0,C13*(M9+M15)/($C$9+$C$15))</f>
        <v>0</v>
      </c>
      <c r="N13" s="75">
        <f t="shared" si="7"/>
        <v>0</v>
      </c>
      <c r="O13" s="103">
        <f>IF($C$9+$C$15=0,0,C13*(O9+O15)/($C$9+$C$15))</f>
        <v>0</v>
      </c>
      <c r="P13" s="125">
        <f t="shared" si="8"/>
        <v>0</v>
      </c>
    </row>
    <row r="14" spans="1:20" ht="16.5" customHeight="1">
      <c r="A14" s="105" t="s">
        <v>13</v>
      </c>
      <c r="B14" s="72" t="s">
        <v>206</v>
      </c>
      <c r="C14" s="73">
        <f>D14+K14</f>
        <v>0</v>
      </c>
      <c r="D14" s="74">
        <f t="shared" si="4"/>
        <v>0</v>
      </c>
      <c r="E14" s="75">
        <f t="shared" si="0"/>
        <v>0</v>
      </c>
      <c r="F14" s="135">
        <v>0</v>
      </c>
      <c r="G14" s="75">
        <f t="shared" si="1"/>
        <v>0</v>
      </c>
      <c r="H14" s="75">
        <f t="shared" si="2"/>
        <v>0</v>
      </c>
      <c r="I14" s="135">
        <v>0</v>
      </c>
      <c r="J14" s="75">
        <f t="shared" si="3"/>
        <v>0</v>
      </c>
      <c r="K14" s="77">
        <f t="shared" si="5"/>
        <v>0</v>
      </c>
      <c r="L14" s="75">
        <f t="shared" si="6"/>
        <v>0</v>
      </c>
      <c r="M14" s="135"/>
      <c r="N14" s="75">
        <f t="shared" si="7"/>
        <v>0</v>
      </c>
      <c r="O14" s="135"/>
      <c r="P14" s="125">
        <f t="shared" si="8"/>
        <v>0</v>
      </c>
      <c r="R14" s="69">
        <v>10165</v>
      </c>
      <c r="S14" s="69">
        <f>R14/4</f>
        <v>2541.25</v>
      </c>
      <c r="T14" s="69">
        <v>102</v>
      </c>
    </row>
    <row r="15" spans="1:16" ht="15">
      <c r="A15" s="105" t="s">
        <v>17</v>
      </c>
      <c r="B15" s="72" t="s">
        <v>207</v>
      </c>
      <c r="C15" s="73">
        <f>K15</f>
        <v>7236.706778159999</v>
      </c>
      <c r="D15" s="78" t="s">
        <v>208</v>
      </c>
      <c r="E15" s="79" t="s">
        <v>208</v>
      </c>
      <c r="F15" s="80" t="s">
        <v>208</v>
      </c>
      <c r="G15" s="81" t="s">
        <v>208</v>
      </c>
      <c r="H15" s="81" t="s">
        <v>208</v>
      </c>
      <c r="I15" s="80" t="s">
        <v>208</v>
      </c>
      <c r="J15" s="81" t="s">
        <v>208</v>
      </c>
      <c r="K15" s="82">
        <f t="shared" si="5"/>
        <v>7236.706778159999</v>
      </c>
      <c r="L15" s="83">
        <f t="shared" si="6"/>
        <v>10.729999999999999</v>
      </c>
      <c r="M15" s="84">
        <f>M44*M45</f>
        <v>7236.706778159999</v>
      </c>
      <c r="N15" s="83">
        <f t="shared" si="7"/>
        <v>10.729999999999999</v>
      </c>
      <c r="O15" s="84">
        <f>O44*O45</f>
        <v>0</v>
      </c>
      <c r="P15" s="126">
        <f t="shared" si="8"/>
        <v>0</v>
      </c>
    </row>
    <row r="16" spans="1:16" ht="15">
      <c r="A16" s="105" t="s">
        <v>18</v>
      </c>
      <c r="B16" s="72" t="s">
        <v>209</v>
      </c>
      <c r="C16" s="73">
        <v>152.76</v>
      </c>
      <c r="D16" s="74">
        <f t="shared" si="4"/>
        <v>73.74342499355609</v>
      </c>
      <c r="E16" s="75">
        <f aca="true" t="shared" si="9" ref="E16:E24">IF($D$34=0,0,D16/$D$34)</f>
        <v>0.11215013640734144</v>
      </c>
      <c r="F16" s="103">
        <f>IF($C$9+$C$15=0,0,C16*F9/($C$9+$C$15))</f>
        <v>20.623980904165023</v>
      </c>
      <c r="G16" s="75">
        <f aca="true" t="shared" si="10" ref="G16:G24">IF($F$34=0,0,F16/$F$34)</f>
        <v>0.11416730365942986</v>
      </c>
      <c r="H16" s="75">
        <f aca="true" t="shared" si="11" ref="H16:H24">IF($F$30=0,0,F16/$F$30)*1000</f>
        <v>0.6272881837144906</v>
      </c>
      <c r="I16" s="103">
        <f>IF($C$9+$C$15=0,0,C16*I9/($C$9+$C$15))</f>
        <v>53.11944408939106</v>
      </c>
      <c r="J16" s="75">
        <f aca="true" t="shared" si="12" ref="J16:J24">IF($I$34=0,0,I16/$I$34)</f>
        <v>0.11138603694605953</v>
      </c>
      <c r="K16" s="77">
        <f t="shared" si="5"/>
        <v>79.01657500644393</v>
      </c>
      <c r="L16" s="75">
        <f t="shared" si="6"/>
        <v>0.11715934827951073</v>
      </c>
      <c r="M16" s="103">
        <f>IF($C$9+$C$15=0,0,C16*(M9+M15)/($C$9+$C$15))</f>
        <v>79.01657500644393</v>
      </c>
      <c r="N16" s="75">
        <f t="shared" si="7"/>
        <v>0.11715934827951073</v>
      </c>
      <c r="O16" s="103">
        <f>IF($C$9+$C$15=0,0,C16*(O9+O15)/($C$9+$C$15))</f>
        <v>0</v>
      </c>
      <c r="P16" s="125">
        <f t="shared" si="8"/>
        <v>0</v>
      </c>
    </row>
    <row r="17" spans="1:16" ht="15">
      <c r="A17" s="105" t="s">
        <v>25</v>
      </c>
      <c r="B17" s="72" t="s">
        <v>210</v>
      </c>
      <c r="C17" s="73">
        <f aca="true" t="shared" si="13" ref="C17:C25">D17+K17</f>
        <v>23673.07680694694</v>
      </c>
      <c r="D17" s="74">
        <f t="shared" si="4"/>
        <v>11397.05388754761</v>
      </c>
      <c r="E17" s="75">
        <f t="shared" si="9"/>
        <v>17.332815071200944</v>
      </c>
      <c r="F17" s="76">
        <f>F9+F10+F14+F16</f>
        <v>3356.085984904165</v>
      </c>
      <c r="G17" s="75">
        <f t="shared" si="10"/>
        <v>18.578144031753446</v>
      </c>
      <c r="H17" s="75">
        <f t="shared" si="11"/>
        <v>102.07695069359951</v>
      </c>
      <c r="I17" s="76">
        <f>I9+I10+I14+I16</f>
        <v>8040.967902643445</v>
      </c>
      <c r="J17" s="75">
        <f t="shared" si="12"/>
        <v>16.861086617900053</v>
      </c>
      <c r="K17" s="77">
        <f t="shared" si="5"/>
        <v>12276.02291939933</v>
      </c>
      <c r="L17" s="75">
        <f t="shared" si="6"/>
        <v>18.201887953051248</v>
      </c>
      <c r="M17" s="76">
        <f>M9+M10+M14+M16+M15</f>
        <v>12276.02291939933</v>
      </c>
      <c r="N17" s="75">
        <f t="shared" si="7"/>
        <v>18.201887953051248</v>
      </c>
      <c r="O17" s="76">
        <f>O9+O10+O14+O16+O15</f>
        <v>0</v>
      </c>
      <c r="P17" s="125">
        <f t="shared" si="8"/>
        <v>0</v>
      </c>
    </row>
    <row r="18" spans="1:16" ht="15">
      <c r="A18" s="105" t="s">
        <v>32</v>
      </c>
      <c r="B18" s="72" t="s">
        <v>211</v>
      </c>
      <c r="C18" s="73">
        <f t="shared" si="13"/>
        <v>210.73826353510685</v>
      </c>
      <c r="D18" s="74">
        <f t="shared" si="4"/>
        <v>149.30003812162164</v>
      </c>
      <c r="E18" s="75">
        <f>IF($D$34=0,0,D18/$D$34)</f>
        <v>0.22705779725344033</v>
      </c>
      <c r="F18" s="77">
        <f>F19+F20</f>
        <v>41.75506</v>
      </c>
      <c r="G18" s="75">
        <f t="shared" si="10"/>
        <v>0.23114172945025382</v>
      </c>
      <c r="H18" s="75">
        <f t="shared" si="11"/>
        <v>1.27</v>
      </c>
      <c r="I18" s="77">
        <f>I19+I20</f>
        <v>107.54497812162163</v>
      </c>
      <c r="J18" s="75">
        <f t="shared" si="12"/>
        <v>0.2255108108108108</v>
      </c>
      <c r="K18" s="77">
        <f t="shared" si="5"/>
        <v>61.43822541348521</v>
      </c>
      <c r="L18" s="75">
        <f t="shared" si="6"/>
        <v>0.09109560175579096</v>
      </c>
      <c r="M18" s="77">
        <f>M19+M20</f>
        <v>61.43822541348521</v>
      </c>
      <c r="N18" s="75">
        <f t="shared" si="7"/>
        <v>0.09109560175579096</v>
      </c>
      <c r="O18" s="77">
        <f>O19+O20</f>
        <v>0</v>
      </c>
      <c r="P18" s="125">
        <f t="shared" si="8"/>
        <v>0</v>
      </c>
    </row>
    <row r="19" spans="1:16" ht="15">
      <c r="A19" s="105" t="s">
        <v>48</v>
      </c>
      <c r="B19" s="72" t="s">
        <v>212</v>
      </c>
      <c r="C19" s="73">
        <f t="shared" si="13"/>
        <v>210.73826353510685</v>
      </c>
      <c r="D19" s="74">
        <f t="shared" si="4"/>
        <v>149.30003812162164</v>
      </c>
      <c r="E19" s="75">
        <f t="shared" si="9"/>
        <v>0.22705779725344033</v>
      </c>
      <c r="F19" s="76">
        <f>F30*$C$33/1000</f>
        <v>41.75506</v>
      </c>
      <c r="G19" s="85">
        <f t="shared" si="10"/>
        <v>0.23114172945025382</v>
      </c>
      <c r="H19" s="75">
        <f t="shared" si="11"/>
        <v>1.27</v>
      </c>
      <c r="I19" s="76">
        <f>I30*$C$33/1000</f>
        <v>107.54497812162163</v>
      </c>
      <c r="J19" s="85">
        <f t="shared" si="12"/>
        <v>0.2255108108108108</v>
      </c>
      <c r="K19" s="76">
        <f t="shared" si="5"/>
        <v>61.43822541348521</v>
      </c>
      <c r="L19" s="75">
        <f t="shared" si="6"/>
        <v>0.09109560175579096</v>
      </c>
      <c r="M19" s="76">
        <f>M30*$C$33/1000</f>
        <v>61.43822541348521</v>
      </c>
      <c r="N19" s="75">
        <f t="shared" si="7"/>
        <v>0.09109560175579096</v>
      </c>
      <c r="O19" s="76">
        <f>O30*$C$33/1000</f>
        <v>0</v>
      </c>
      <c r="P19" s="125">
        <f t="shared" si="8"/>
        <v>0</v>
      </c>
    </row>
    <row r="20" spans="1:16" ht="15">
      <c r="A20" s="105" t="s">
        <v>49</v>
      </c>
      <c r="B20" s="72" t="s">
        <v>213</v>
      </c>
      <c r="C20" s="73">
        <f t="shared" si="13"/>
        <v>0</v>
      </c>
      <c r="D20" s="74">
        <f t="shared" si="4"/>
        <v>0</v>
      </c>
      <c r="E20" s="75">
        <f t="shared" si="9"/>
        <v>0</v>
      </c>
      <c r="F20" s="77">
        <f>F21+F22</f>
        <v>0</v>
      </c>
      <c r="G20" s="75">
        <f t="shared" si="10"/>
        <v>0</v>
      </c>
      <c r="H20" s="75">
        <f t="shared" si="11"/>
        <v>0</v>
      </c>
      <c r="I20" s="77">
        <f>I21+I22</f>
        <v>0</v>
      </c>
      <c r="J20" s="75">
        <f t="shared" si="12"/>
        <v>0</v>
      </c>
      <c r="K20" s="77">
        <f t="shared" si="5"/>
        <v>0</v>
      </c>
      <c r="L20" s="75">
        <f t="shared" si="6"/>
        <v>0</v>
      </c>
      <c r="M20" s="77">
        <f>M21+M22</f>
        <v>0</v>
      </c>
      <c r="N20" s="75">
        <f t="shared" si="7"/>
        <v>0</v>
      </c>
      <c r="O20" s="77">
        <f>O21+O22</f>
        <v>0</v>
      </c>
      <c r="P20" s="125">
        <f t="shared" si="8"/>
        <v>0</v>
      </c>
    </row>
    <row r="21" spans="1:16" ht="15">
      <c r="A21" s="105" t="s">
        <v>214</v>
      </c>
      <c r="B21" s="72" t="s">
        <v>215</v>
      </c>
      <c r="C21" s="73">
        <f t="shared" si="13"/>
        <v>0</v>
      </c>
      <c r="D21" s="74">
        <f t="shared" si="4"/>
        <v>0</v>
      </c>
      <c r="E21" s="75">
        <f t="shared" si="9"/>
        <v>0</v>
      </c>
      <c r="F21" s="135"/>
      <c r="G21" s="75">
        <f t="shared" si="10"/>
        <v>0</v>
      </c>
      <c r="H21" s="75">
        <f t="shared" si="11"/>
        <v>0</v>
      </c>
      <c r="I21" s="135"/>
      <c r="J21" s="75">
        <f t="shared" si="12"/>
        <v>0</v>
      </c>
      <c r="K21" s="77">
        <f t="shared" si="5"/>
        <v>0</v>
      </c>
      <c r="L21" s="75">
        <f t="shared" si="6"/>
        <v>0</v>
      </c>
      <c r="M21" s="135"/>
      <c r="N21" s="75">
        <f t="shared" si="7"/>
        <v>0</v>
      </c>
      <c r="O21" s="135">
        <v>0</v>
      </c>
      <c r="P21" s="125">
        <f t="shared" si="8"/>
        <v>0</v>
      </c>
    </row>
    <row r="22" spans="1:16" ht="15">
      <c r="A22" s="105" t="s">
        <v>216</v>
      </c>
      <c r="B22" s="72" t="s">
        <v>217</v>
      </c>
      <c r="C22" s="73">
        <f t="shared" si="13"/>
        <v>0</v>
      </c>
      <c r="D22" s="74">
        <f t="shared" si="4"/>
        <v>0</v>
      </c>
      <c r="E22" s="75">
        <f t="shared" si="9"/>
        <v>0</v>
      </c>
      <c r="F22" s="135"/>
      <c r="G22" s="75">
        <f t="shared" si="10"/>
        <v>0</v>
      </c>
      <c r="H22" s="75">
        <f t="shared" si="11"/>
        <v>0</v>
      </c>
      <c r="I22" s="135"/>
      <c r="J22" s="75">
        <f t="shared" si="12"/>
        <v>0</v>
      </c>
      <c r="K22" s="77">
        <f t="shared" si="5"/>
        <v>0</v>
      </c>
      <c r="L22" s="75">
        <f t="shared" si="6"/>
        <v>0</v>
      </c>
      <c r="M22" s="135"/>
      <c r="N22" s="75">
        <f t="shared" si="7"/>
        <v>0</v>
      </c>
      <c r="O22" s="135">
        <v>0</v>
      </c>
      <c r="P22" s="125">
        <f t="shared" si="8"/>
        <v>0</v>
      </c>
    </row>
    <row r="23" spans="1:16" ht="15">
      <c r="A23" s="105" t="s">
        <v>33</v>
      </c>
      <c r="B23" s="72" t="s">
        <v>218</v>
      </c>
      <c r="C23" s="86">
        <f t="shared" si="13"/>
        <v>59.85918564030588</v>
      </c>
      <c r="D23" s="87">
        <f t="shared" si="4"/>
        <v>28.938230390148448</v>
      </c>
      <c r="E23" s="85">
        <f t="shared" si="9"/>
        <v>0.04400970643722903</v>
      </c>
      <c r="F23" s="76">
        <f>IF(F17=0,0,((F17+F18)*F46/100)/(1-F46/100))</f>
        <v>8.515892343118207</v>
      </c>
      <c r="G23" s="85">
        <f t="shared" si="10"/>
        <v>0.047141067070685966</v>
      </c>
      <c r="H23" s="75">
        <f t="shared" si="11"/>
        <v>0.25901491401904636</v>
      </c>
      <c r="I23" s="76">
        <f>IF(I17=0,0,((I17+I18)*I46/100)/(1-I46/100))</f>
        <v>20.42233804703024</v>
      </c>
      <c r="J23" s="75">
        <f t="shared" si="12"/>
        <v>0.042823552452909426</v>
      </c>
      <c r="K23" s="77">
        <f t="shared" si="5"/>
        <v>30.92095525015743</v>
      </c>
      <c r="L23" s="75">
        <f t="shared" si="6"/>
        <v>0.04584707657846376</v>
      </c>
      <c r="M23" s="76">
        <f>IF(M17=0,0,((M17+M18)*M46/100)/(1-M46/100))</f>
        <v>30.92095525015743</v>
      </c>
      <c r="N23" s="75">
        <f t="shared" si="7"/>
        <v>0.04584707657846376</v>
      </c>
      <c r="O23" s="76">
        <f>IF(O17=0,0,((O17+O18)*O46/100)/(1-O46/100))</f>
        <v>0</v>
      </c>
      <c r="P23" s="125">
        <f t="shared" si="8"/>
        <v>0</v>
      </c>
    </row>
    <row r="24" spans="1:16" ht="15">
      <c r="A24" s="110" t="s">
        <v>34</v>
      </c>
      <c r="B24" s="72" t="s">
        <v>259</v>
      </c>
      <c r="C24" s="73">
        <f t="shared" si="13"/>
        <v>23732.935992587245</v>
      </c>
      <c r="D24" s="87">
        <f t="shared" si="4"/>
        <v>11425.992117937758</v>
      </c>
      <c r="E24" s="85">
        <f t="shared" si="9"/>
        <v>17.376824777638173</v>
      </c>
      <c r="F24" s="76">
        <f>F23+F17</f>
        <v>3364.601877247283</v>
      </c>
      <c r="G24" s="85">
        <f t="shared" si="10"/>
        <v>18.625285098824133</v>
      </c>
      <c r="H24" s="75">
        <f t="shared" si="11"/>
        <v>102.33596560761855</v>
      </c>
      <c r="I24" s="76">
        <f>I23+I17</f>
        <v>8061.390240690475</v>
      </c>
      <c r="J24" s="75">
        <f t="shared" si="12"/>
        <v>16.90391017035296</v>
      </c>
      <c r="K24" s="77">
        <f t="shared" si="5"/>
        <v>12306.943874649487</v>
      </c>
      <c r="L24" s="75">
        <f t="shared" si="6"/>
        <v>18.247735029629712</v>
      </c>
      <c r="M24" s="77">
        <f>M23+M17</f>
        <v>12306.943874649487</v>
      </c>
      <c r="N24" s="75">
        <f t="shared" si="7"/>
        <v>18.247735029629712</v>
      </c>
      <c r="O24" s="77">
        <f>O23+O17</f>
        <v>0</v>
      </c>
      <c r="P24" s="125">
        <f t="shared" si="8"/>
        <v>0</v>
      </c>
    </row>
    <row r="25" spans="1:16" ht="15">
      <c r="A25" s="105" t="s">
        <v>219</v>
      </c>
      <c r="B25" s="72" t="s">
        <v>220</v>
      </c>
      <c r="C25" s="73">
        <f t="shared" si="13"/>
        <v>23943.67425612235</v>
      </c>
      <c r="D25" s="74">
        <f t="shared" si="4"/>
        <v>11575.29215605938</v>
      </c>
      <c r="E25" s="88" t="s">
        <v>208</v>
      </c>
      <c r="F25" s="77">
        <f>F24+F18</f>
        <v>3406.356937247283</v>
      </c>
      <c r="G25" s="88" t="s">
        <v>208</v>
      </c>
      <c r="H25" s="88" t="s">
        <v>208</v>
      </c>
      <c r="I25" s="82">
        <f>I24+I18</f>
        <v>8168.935218812097</v>
      </c>
      <c r="J25" s="88" t="s">
        <v>208</v>
      </c>
      <c r="K25" s="82">
        <f>M25+O25</f>
        <v>12368.382100062972</v>
      </c>
      <c r="L25" s="88" t="s">
        <v>208</v>
      </c>
      <c r="M25" s="82">
        <f>M24+M18</f>
        <v>12368.382100062972</v>
      </c>
      <c r="N25" s="88" t="s">
        <v>208</v>
      </c>
      <c r="O25" s="82">
        <f>O24+O18</f>
        <v>0</v>
      </c>
      <c r="P25" s="106" t="s">
        <v>208</v>
      </c>
    </row>
    <row r="26" spans="1:16" ht="15">
      <c r="A26" s="105" t="s">
        <v>221</v>
      </c>
      <c r="B26" s="72" t="s">
        <v>246</v>
      </c>
      <c r="C26" s="88" t="s">
        <v>208</v>
      </c>
      <c r="D26" s="88" t="s">
        <v>208</v>
      </c>
      <c r="E26" s="83">
        <f>IF($D$34=0,0,$D$25/$D$34)</f>
        <v>17.603882574891614</v>
      </c>
      <c r="F26" s="88" t="s">
        <v>208</v>
      </c>
      <c r="G26" s="83">
        <f>IF($F$34=0,0,$F$25/$F$34)</f>
        <v>18.856426828274387</v>
      </c>
      <c r="H26" s="75">
        <f>IF($F$30=0,0,F25/$F$30)*1000</f>
        <v>103.60596560761856</v>
      </c>
      <c r="I26" s="88" t="s">
        <v>208</v>
      </c>
      <c r="J26" s="83">
        <f>IF($I$34=0,0,$I$25/$I$34)</f>
        <v>17.129420981163772</v>
      </c>
      <c r="K26" s="88" t="s">
        <v>208</v>
      </c>
      <c r="L26" s="83">
        <f>IF($K$35=0,0,K25/$K$35)</f>
        <v>18.338830631385502</v>
      </c>
      <c r="M26" s="88" t="s">
        <v>208</v>
      </c>
      <c r="N26" s="83">
        <f>IF($M$35=0,0,M25/$M$35)</f>
        <v>18.338830631385502</v>
      </c>
      <c r="O26" s="88" t="s">
        <v>208</v>
      </c>
      <c r="P26" s="126">
        <f>IF($O$35=0,0,O25/$O$35)</f>
        <v>0</v>
      </c>
    </row>
    <row r="27" spans="1:16" s="104" customFormat="1" ht="15">
      <c r="A27" s="105" t="s">
        <v>243</v>
      </c>
      <c r="B27" s="72" t="s">
        <v>245</v>
      </c>
      <c r="C27" s="88" t="s">
        <v>208</v>
      </c>
      <c r="D27" s="131">
        <f>D9+D19</f>
        <v>11114.035908675676</v>
      </c>
      <c r="E27" s="132">
        <f>IF(D34=0,0,D27/D34)</f>
        <v>16.90239697034665</v>
      </c>
      <c r="F27" s="131">
        <f>F9+F19</f>
        <v>3108.28612</v>
      </c>
      <c r="G27" s="132">
        <f>IF(F34=0,0,F27/F34)</f>
        <v>17.206408741911023</v>
      </c>
      <c r="H27" s="75">
        <f>IF($F$30=0,0,F27/$F$30)*1000</f>
        <v>94.54</v>
      </c>
      <c r="I27" s="131">
        <f>I9+I19</f>
        <v>8005.7497886756755</v>
      </c>
      <c r="J27" s="132">
        <f>IF(I34=0,0,I27/I34)</f>
        <v>16.78723783783784</v>
      </c>
      <c r="K27" s="88" t="s">
        <v>208</v>
      </c>
      <c r="L27" s="88" t="s">
        <v>208</v>
      </c>
      <c r="M27" s="88" t="s">
        <v>208</v>
      </c>
      <c r="N27" s="88" t="s">
        <v>208</v>
      </c>
      <c r="O27" s="88" t="s">
        <v>208</v>
      </c>
      <c r="P27" s="106" t="s">
        <v>208</v>
      </c>
    </row>
    <row r="28" spans="1:16" s="104" customFormat="1" ht="15.75" thickBot="1">
      <c r="A28" s="107" t="s">
        <v>244</v>
      </c>
      <c r="B28" s="127" t="s">
        <v>258</v>
      </c>
      <c r="C28" s="109" t="s">
        <v>208</v>
      </c>
      <c r="D28" s="133">
        <f>D25-D27</f>
        <v>461.25624738370425</v>
      </c>
      <c r="E28" s="134">
        <f>IF(D34=0,0,D28/D34)</f>
        <v>0.7014856045449633</v>
      </c>
      <c r="F28" s="133">
        <f>F25-F27</f>
        <v>298.0708172472828</v>
      </c>
      <c r="G28" s="134">
        <f>IF(F34=0,0,F28/F34)</f>
        <v>1.6500180863633649</v>
      </c>
      <c r="H28" s="75">
        <f>IF($F$30=0,0,F28/$F$30)*1000</f>
        <v>9.065965607618553</v>
      </c>
      <c r="I28" s="133">
        <f>I25-I27</f>
        <v>163.18543013642193</v>
      </c>
      <c r="J28" s="134">
        <f>IF(I34=0,0,I28/I34)</f>
        <v>0.34218314332593536</v>
      </c>
      <c r="K28" s="109" t="s">
        <v>208</v>
      </c>
      <c r="L28" s="109" t="s">
        <v>208</v>
      </c>
      <c r="M28" s="109" t="s">
        <v>208</v>
      </c>
      <c r="N28" s="109" t="s">
        <v>208</v>
      </c>
      <c r="O28" s="109" t="s">
        <v>208</v>
      </c>
      <c r="P28" s="116" t="s">
        <v>208</v>
      </c>
    </row>
    <row r="29" spans="1:16" ht="15">
      <c r="A29" s="582" t="s">
        <v>248</v>
      </c>
      <c r="B29" s="583"/>
      <c r="C29" s="583"/>
      <c r="D29" s="583"/>
      <c r="E29" s="583"/>
      <c r="F29" s="583"/>
      <c r="G29" s="583"/>
      <c r="H29" s="583"/>
      <c r="I29" s="583"/>
      <c r="J29" s="583"/>
      <c r="K29" s="583"/>
      <c r="L29" s="583"/>
      <c r="M29" s="583"/>
      <c r="N29" s="583"/>
      <c r="O29" s="583"/>
      <c r="P29" s="584"/>
    </row>
    <row r="30" spans="1:18" ht="15">
      <c r="A30" s="105" t="s">
        <v>8</v>
      </c>
      <c r="B30" s="72" t="s">
        <v>223</v>
      </c>
      <c r="C30" s="89">
        <f>D30+K30</f>
        <v>165935.64057882427</v>
      </c>
      <c r="D30" s="89">
        <f t="shared" si="4"/>
        <v>117559.08513513513</v>
      </c>
      <c r="E30" s="88" t="s">
        <v>208</v>
      </c>
      <c r="F30" s="136">
        <f>'д.2 тарифи 869 пост за табл 7.1'!D15</f>
        <v>32878</v>
      </c>
      <c r="G30" s="88" t="s">
        <v>208</v>
      </c>
      <c r="H30" s="81" t="s">
        <v>208</v>
      </c>
      <c r="I30" s="136">
        <f>'д.2 тарифи 869 пост за табл 7.1'!E15</f>
        <v>84681.08513513513</v>
      </c>
      <c r="J30" s="88" t="s">
        <v>208</v>
      </c>
      <c r="K30" s="90">
        <f t="shared" si="5"/>
        <v>48376.55544368914</v>
      </c>
      <c r="L30" s="88" t="s">
        <v>208</v>
      </c>
      <c r="M30" s="148">
        <f>ГВП!C36</f>
        <v>48376.55544368914</v>
      </c>
      <c r="N30" s="88" t="s">
        <v>208</v>
      </c>
      <c r="O30" s="148">
        <f>ГВП!C37</f>
        <v>0</v>
      </c>
      <c r="P30" s="106" t="s">
        <v>208</v>
      </c>
      <c r="Q30" s="200">
        <f>(C30-R30)/C30*100</f>
        <v>-17.99334327274472</v>
      </c>
      <c r="R30" s="427">
        <f>'Структура послуги аналіз'!S49</f>
        <v>195793.01</v>
      </c>
    </row>
    <row r="31" spans="1:16" ht="15">
      <c r="A31" s="105" t="s">
        <v>9</v>
      </c>
      <c r="B31" s="72" t="s">
        <v>240</v>
      </c>
      <c r="C31" s="91">
        <f>C32+C33</f>
        <v>94.53999999999999</v>
      </c>
      <c r="D31" s="88" t="s">
        <v>208</v>
      </c>
      <c r="E31" s="88" t="s">
        <v>208</v>
      </c>
      <c r="F31" s="88" t="s">
        <v>208</v>
      </c>
      <c r="G31" s="88" t="s">
        <v>208</v>
      </c>
      <c r="H31" s="81" t="s">
        <v>208</v>
      </c>
      <c r="I31" s="88" t="s">
        <v>208</v>
      </c>
      <c r="J31" s="88" t="s">
        <v>208</v>
      </c>
      <c r="K31" s="88" t="s">
        <v>208</v>
      </c>
      <c r="L31" s="88" t="s">
        <v>208</v>
      </c>
      <c r="M31" s="88" t="s">
        <v>208</v>
      </c>
      <c r="N31" s="88" t="s">
        <v>208</v>
      </c>
      <c r="O31" s="88" t="s">
        <v>208</v>
      </c>
      <c r="P31" s="106" t="s">
        <v>208</v>
      </c>
    </row>
    <row r="32" spans="1:16" ht="17.25" customHeight="1">
      <c r="A32" s="105" t="s">
        <v>200</v>
      </c>
      <c r="B32" s="72" t="s">
        <v>225</v>
      </c>
      <c r="C32" s="190">
        <f>93.27</f>
        <v>93.27</v>
      </c>
      <c r="D32" s="88" t="s">
        <v>208</v>
      </c>
      <c r="E32" s="88" t="s">
        <v>208</v>
      </c>
      <c r="F32" s="88" t="s">
        <v>208</v>
      </c>
      <c r="G32" s="88" t="s">
        <v>208</v>
      </c>
      <c r="H32" s="81" t="s">
        <v>208</v>
      </c>
      <c r="I32" s="88" t="s">
        <v>208</v>
      </c>
      <c r="J32" s="88" t="s">
        <v>208</v>
      </c>
      <c r="K32" s="88" t="s">
        <v>208</v>
      </c>
      <c r="L32" s="88" t="s">
        <v>208</v>
      </c>
      <c r="M32" s="88" t="s">
        <v>208</v>
      </c>
      <c r="N32" s="88" t="s">
        <v>208</v>
      </c>
      <c r="O32" s="88" t="s">
        <v>208</v>
      </c>
      <c r="P32" s="106" t="s">
        <v>208</v>
      </c>
    </row>
    <row r="33" spans="1:16" ht="15" customHeight="1">
      <c r="A33" s="105" t="s">
        <v>202</v>
      </c>
      <c r="B33" s="72" t="s">
        <v>226</v>
      </c>
      <c r="C33" s="190">
        <v>1.27</v>
      </c>
      <c r="D33" s="88" t="s">
        <v>208</v>
      </c>
      <c r="E33" s="88" t="s">
        <v>208</v>
      </c>
      <c r="F33" s="88" t="s">
        <v>208</v>
      </c>
      <c r="G33" s="88" t="s">
        <v>208</v>
      </c>
      <c r="H33" s="81" t="s">
        <v>208</v>
      </c>
      <c r="I33" s="88" t="s">
        <v>208</v>
      </c>
      <c r="J33" s="88" t="s">
        <v>208</v>
      </c>
      <c r="K33" s="88" t="s">
        <v>208</v>
      </c>
      <c r="L33" s="88" t="s">
        <v>208</v>
      </c>
      <c r="M33" s="88" t="s">
        <v>208</v>
      </c>
      <c r="N33" s="88" t="s">
        <v>208</v>
      </c>
      <c r="O33" s="88" t="s">
        <v>208</v>
      </c>
      <c r="P33" s="106" t="s">
        <v>208</v>
      </c>
    </row>
    <row r="34" spans="1:16" ht="15">
      <c r="A34" s="110" t="s">
        <v>13</v>
      </c>
      <c r="B34" s="72" t="s">
        <v>242</v>
      </c>
      <c r="C34" s="88" t="s">
        <v>208</v>
      </c>
      <c r="D34" s="73">
        <f>F34+I34</f>
        <v>657.5419999999999</v>
      </c>
      <c r="E34" s="88" t="s">
        <v>208</v>
      </c>
      <c r="F34" s="149">
        <f>'д.2 тарифи 869 пост за табл 7.1'!D11/1000</f>
        <v>180.647</v>
      </c>
      <c r="G34" s="88" t="s">
        <v>208</v>
      </c>
      <c r="H34" s="81" t="s">
        <v>208</v>
      </c>
      <c r="I34" s="149">
        <f>'д.2 тарифи 869 пост за табл 7.1'!E11/1000</f>
        <v>476.895</v>
      </c>
      <c r="J34" s="88" t="s">
        <v>208</v>
      </c>
      <c r="K34" s="88" t="s">
        <v>208</v>
      </c>
      <c r="L34" s="88" t="s">
        <v>208</v>
      </c>
      <c r="M34" s="88" t="s">
        <v>208</v>
      </c>
      <c r="N34" s="88" t="s">
        <v>208</v>
      </c>
      <c r="O34" s="88" t="s">
        <v>208</v>
      </c>
      <c r="P34" s="106" t="s">
        <v>208</v>
      </c>
    </row>
    <row r="35" spans="1:16" ht="15">
      <c r="A35" s="110" t="s">
        <v>17</v>
      </c>
      <c r="B35" s="72" t="s">
        <v>241</v>
      </c>
      <c r="C35" s="88" t="s">
        <v>208</v>
      </c>
      <c r="D35" s="88" t="s">
        <v>208</v>
      </c>
      <c r="E35" s="88" t="s">
        <v>208</v>
      </c>
      <c r="F35" s="88" t="s">
        <v>208</v>
      </c>
      <c r="G35" s="88" t="s">
        <v>208</v>
      </c>
      <c r="H35" s="81" t="s">
        <v>208</v>
      </c>
      <c r="I35" s="88" t="s">
        <v>208</v>
      </c>
      <c r="J35" s="88" t="s">
        <v>208</v>
      </c>
      <c r="K35" s="77">
        <f>M35+O35</f>
        <v>674.436792</v>
      </c>
      <c r="L35" s="88" t="s">
        <v>208</v>
      </c>
      <c r="M35" s="103">
        <f>ГВП!C30/1000</f>
        <v>674.436792</v>
      </c>
      <c r="N35" s="88" t="s">
        <v>208</v>
      </c>
      <c r="O35" s="103">
        <f>ГВП!C31/1000</f>
        <v>0</v>
      </c>
      <c r="P35" s="106" t="s">
        <v>208</v>
      </c>
    </row>
    <row r="36" spans="1:16" ht="15">
      <c r="A36" s="105" t="s">
        <v>18</v>
      </c>
      <c r="B36" s="72" t="s">
        <v>228</v>
      </c>
      <c r="C36" s="71">
        <f aca="true" t="shared" si="14" ref="C36:C42">D36+K36</f>
        <v>26788</v>
      </c>
      <c r="D36" s="92">
        <f t="shared" si="4"/>
        <v>13044</v>
      </c>
      <c r="E36" s="88" t="s">
        <v>208</v>
      </c>
      <c r="F36" s="150">
        <f>'д.2 тарифи 869 пост за табл 7.1'!D10</f>
        <v>3693</v>
      </c>
      <c r="G36" s="88" t="s">
        <v>208</v>
      </c>
      <c r="H36" s="81" t="s">
        <v>208</v>
      </c>
      <c r="I36" s="150">
        <f>'д.2 тарифи 869 пост за табл 7.1'!E10</f>
        <v>9351</v>
      </c>
      <c r="J36" s="88" t="s">
        <v>208</v>
      </c>
      <c r="K36" s="92">
        <f t="shared" si="5"/>
        <v>13744</v>
      </c>
      <c r="L36" s="88" t="s">
        <v>208</v>
      </c>
      <c r="M36" s="150">
        <f>ГВП!C11</f>
        <v>13744</v>
      </c>
      <c r="N36" s="88" t="s">
        <v>208</v>
      </c>
      <c r="O36" s="150">
        <f>ГВП!C12</f>
        <v>0</v>
      </c>
      <c r="P36" s="106" t="s">
        <v>208</v>
      </c>
    </row>
    <row r="37" spans="1:17" ht="15">
      <c r="A37" s="105" t="s">
        <v>25</v>
      </c>
      <c r="B37" s="72" t="s">
        <v>260</v>
      </c>
      <c r="C37" s="92">
        <f t="shared" si="14"/>
        <v>9</v>
      </c>
      <c r="D37" s="90">
        <f>F37+I37</f>
        <v>4</v>
      </c>
      <c r="E37" s="88" t="s">
        <v>208</v>
      </c>
      <c r="F37" s="93">
        <v>3</v>
      </c>
      <c r="G37" s="88" t="s">
        <v>208</v>
      </c>
      <c r="H37" s="88" t="s">
        <v>208</v>
      </c>
      <c r="I37" s="93">
        <f>I38+I39</f>
        <v>1</v>
      </c>
      <c r="J37" s="88" t="s">
        <v>208</v>
      </c>
      <c r="K37" s="90">
        <f t="shared" si="5"/>
        <v>5</v>
      </c>
      <c r="L37" s="88" t="s">
        <v>208</v>
      </c>
      <c r="M37" s="93">
        <f>M38+M39</f>
        <v>5</v>
      </c>
      <c r="N37" s="88" t="s">
        <v>208</v>
      </c>
      <c r="O37" s="93">
        <f>O38+O39</f>
        <v>0</v>
      </c>
      <c r="P37" s="106" t="s">
        <v>208</v>
      </c>
      <c r="Q37" s="69">
        <f>D36/C37</f>
        <v>1449.3333333333333</v>
      </c>
    </row>
    <row r="38" spans="1:16" ht="15">
      <c r="A38" s="105" t="s">
        <v>249</v>
      </c>
      <c r="B38" s="72" t="s">
        <v>229</v>
      </c>
      <c r="C38" s="92">
        <f t="shared" si="14"/>
        <v>9</v>
      </c>
      <c r="D38" s="362">
        <f t="shared" si="4"/>
        <v>4</v>
      </c>
      <c r="E38" s="88" t="s">
        <v>208</v>
      </c>
      <c r="F38" s="428">
        <v>3</v>
      </c>
      <c r="G38" s="88" t="s">
        <v>208</v>
      </c>
      <c r="H38" s="88" t="s">
        <v>208</v>
      </c>
      <c r="I38" s="428">
        <v>1</v>
      </c>
      <c r="J38" s="88" t="s">
        <v>208</v>
      </c>
      <c r="K38" s="362">
        <f t="shared" si="5"/>
        <v>5</v>
      </c>
      <c r="L38" s="88" t="s">
        <v>208</v>
      </c>
      <c r="M38" s="428">
        <v>5</v>
      </c>
      <c r="N38" s="88" t="s">
        <v>208</v>
      </c>
      <c r="O38" s="428"/>
      <c r="P38" s="106" t="s">
        <v>208</v>
      </c>
    </row>
    <row r="39" spans="1:16" ht="15">
      <c r="A39" s="105" t="s">
        <v>250</v>
      </c>
      <c r="B39" s="72" t="s">
        <v>230</v>
      </c>
      <c r="C39" s="92">
        <f t="shared" si="14"/>
        <v>0</v>
      </c>
      <c r="D39" s="362">
        <f t="shared" si="4"/>
        <v>0</v>
      </c>
      <c r="E39" s="88" t="s">
        <v>208</v>
      </c>
      <c r="F39" s="428">
        <v>0</v>
      </c>
      <c r="G39" s="88" t="s">
        <v>208</v>
      </c>
      <c r="H39" s="88" t="s">
        <v>208</v>
      </c>
      <c r="I39" s="428">
        <v>0</v>
      </c>
      <c r="J39" s="88" t="s">
        <v>208</v>
      </c>
      <c r="K39" s="362">
        <f t="shared" si="5"/>
        <v>0</v>
      </c>
      <c r="L39" s="88" t="s">
        <v>208</v>
      </c>
      <c r="M39" s="428">
        <v>0</v>
      </c>
      <c r="N39" s="88" t="s">
        <v>208</v>
      </c>
      <c r="O39" s="428">
        <v>0</v>
      </c>
      <c r="P39" s="106" t="s">
        <v>208</v>
      </c>
    </row>
    <row r="40" spans="1:16" ht="30" customHeight="1">
      <c r="A40" s="105" t="s">
        <v>32</v>
      </c>
      <c r="B40" s="72" t="s">
        <v>231</v>
      </c>
      <c r="C40" s="92">
        <f t="shared" si="14"/>
        <v>0</v>
      </c>
      <c r="D40" s="92">
        <f t="shared" si="4"/>
        <v>0</v>
      </c>
      <c r="E40" s="88" t="s">
        <v>208</v>
      </c>
      <c r="F40" s="90">
        <f>F41+F42</f>
        <v>0</v>
      </c>
      <c r="G40" s="88" t="s">
        <v>208</v>
      </c>
      <c r="H40" s="88" t="s">
        <v>208</v>
      </c>
      <c r="I40" s="90">
        <f>I41+I42</f>
        <v>0</v>
      </c>
      <c r="J40" s="88" t="s">
        <v>208</v>
      </c>
      <c r="K40" s="92">
        <f>M40+O40</f>
        <v>0</v>
      </c>
      <c r="L40" s="88" t="s">
        <v>208</v>
      </c>
      <c r="M40" s="92">
        <f>M41+M42</f>
        <v>0</v>
      </c>
      <c r="N40" s="88" t="s">
        <v>208</v>
      </c>
      <c r="O40" s="92">
        <f>O41+O42</f>
        <v>0</v>
      </c>
      <c r="P40" s="106" t="s">
        <v>208</v>
      </c>
    </row>
    <row r="41" spans="1:16" ht="15">
      <c r="A41" s="105" t="s">
        <v>48</v>
      </c>
      <c r="B41" s="72" t="s">
        <v>229</v>
      </c>
      <c r="C41" s="92">
        <f t="shared" si="14"/>
        <v>0</v>
      </c>
      <c r="D41" s="92">
        <f t="shared" si="4"/>
        <v>0</v>
      </c>
      <c r="E41" s="88" t="s">
        <v>208</v>
      </c>
      <c r="F41" s="137">
        <v>0</v>
      </c>
      <c r="G41" s="88" t="s">
        <v>208</v>
      </c>
      <c r="H41" s="88" t="s">
        <v>208</v>
      </c>
      <c r="I41" s="137">
        <v>0</v>
      </c>
      <c r="J41" s="88" t="s">
        <v>208</v>
      </c>
      <c r="K41" s="92">
        <f t="shared" si="5"/>
        <v>0</v>
      </c>
      <c r="L41" s="88" t="s">
        <v>208</v>
      </c>
      <c r="M41" s="137">
        <v>0</v>
      </c>
      <c r="N41" s="88" t="s">
        <v>208</v>
      </c>
      <c r="O41" s="137">
        <v>0</v>
      </c>
      <c r="P41" s="106" t="s">
        <v>208</v>
      </c>
    </row>
    <row r="42" spans="1:16" ht="15">
      <c r="A42" s="105" t="s">
        <v>49</v>
      </c>
      <c r="B42" s="72" t="s">
        <v>230</v>
      </c>
      <c r="C42" s="92">
        <f t="shared" si="14"/>
        <v>0</v>
      </c>
      <c r="D42" s="92">
        <f t="shared" si="4"/>
        <v>0</v>
      </c>
      <c r="E42" s="88" t="s">
        <v>208</v>
      </c>
      <c r="F42" s="137">
        <v>0</v>
      </c>
      <c r="G42" s="88" t="s">
        <v>208</v>
      </c>
      <c r="H42" s="88" t="s">
        <v>208</v>
      </c>
      <c r="I42" s="137">
        <v>0</v>
      </c>
      <c r="J42" s="88" t="s">
        <v>208</v>
      </c>
      <c r="K42" s="92">
        <f t="shared" si="5"/>
        <v>0</v>
      </c>
      <c r="L42" s="88" t="s">
        <v>208</v>
      </c>
      <c r="M42" s="137">
        <v>0</v>
      </c>
      <c r="N42" s="88" t="s">
        <v>208</v>
      </c>
      <c r="O42" s="137">
        <v>0</v>
      </c>
      <c r="P42" s="106" t="s">
        <v>208</v>
      </c>
    </row>
    <row r="43" spans="1:16" ht="15">
      <c r="A43" s="105" t="s">
        <v>33</v>
      </c>
      <c r="B43" s="72" t="s">
        <v>232</v>
      </c>
      <c r="C43" s="91">
        <f>IF(C40+C37=0,0,(D43*D40+D43*D37+K43*K40+K43*K37)/(C40+C37))</f>
        <v>6123.200000000001</v>
      </c>
      <c r="D43" s="91">
        <f>IF(D40+D37=0,0,(F43*F40+F43*F37+I43*I40+I43*I37)/(D37+D40))</f>
        <v>6123.2</v>
      </c>
      <c r="E43" s="94" t="s">
        <v>208</v>
      </c>
      <c r="F43" s="321">
        <f>'Структура послуги аналіз'!S59</f>
        <v>6123.2</v>
      </c>
      <c r="G43" s="94" t="s">
        <v>208</v>
      </c>
      <c r="H43" s="94" t="s">
        <v>208</v>
      </c>
      <c r="I43" s="321">
        <f>'Структура послуги аналіз'!S59</f>
        <v>6123.2</v>
      </c>
      <c r="J43" s="94" t="s">
        <v>208</v>
      </c>
      <c r="K43" s="89">
        <f>IF(K40+K37=0,0,(M43*M40+M43*M37+O43*O40+O43*O37)/(K37+K40))</f>
        <v>6123.2</v>
      </c>
      <c r="L43" s="94" t="s">
        <v>208</v>
      </c>
      <c r="M43" s="321">
        <f>'Структура послуги аналіз'!S59</f>
        <v>6123.2</v>
      </c>
      <c r="N43" s="94" t="s">
        <v>208</v>
      </c>
      <c r="O43" s="321">
        <f>'Структура послуги аналіз'!S59</f>
        <v>6123.2</v>
      </c>
      <c r="P43" s="111" t="s">
        <v>208</v>
      </c>
    </row>
    <row r="44" spans="1:16" ht="15">
      <c r="A44" s="105" t="s">
        <v>34</v>
      </c>
      <c r="B44" s="72" t="s">
        <v>247</v>
      </c>
      <c r="C44" s="73">
        <f>K44</f>
        <v>674.4367919999999</v>
      </c>
      <c r="D44" s="95" t="s">
        <v>208</v>
      </c>
      <c r="E44" s="95" t="s">
        <v>208</v>
      </c>
      <c r="F44" s="95" t="s">
        <v>208</v>
      </c>
      <c r="G44" s="95" t="s">
        <v>208</v>
      </c>
      <c r="H44" s="194" t="s">
        <v>208</v>
      </c>
      <c r="I44" s="95" t="s">
        <v>208</v>
      </c>
      <c r="J44" s="95" t="s">
        <v>208</v>
      </c>
      <c r="K44" s="73">
        <f>M44+O44</f>
        <v>674.4367919999999</v>
      </c>
      <c r="L44" s="95" t="s">
        <v>208</v>
      </c>
      <c r="M44" s="149">
        <f>ГВП!C33/1000</f>
        <v>674.4367919999999</v>
      </c>
      <c r="N44" s="95" t="s">
        <v>208</v>
      </c>
      <c r="O44" s="149">
        <f>ГВП!C34/1000</f>
        <v>0</v>
      </c>
      <c r="P44" s="112" t="s">
        <v>208</v>
      </c>
    </row>
    <row r="45" spans="1:16" ht="15">
      <c r="A45" s="105" t="s">
        <v>219</v>
      </c>
      <c r="B45" s="72" t="s">
        <v>252</v>
      </c>
      <c r="C45" s="435">
        <v>10.73</v>
      </c>
      <c r="D45" s="88" t="s">
        <v>208</v>
      </c>
      <c r="E45" s="88" t="s">
        <v>208</v>
      </c>
      <c r="F45" s="88" t="s">
        <v>208</v>
      </c>
      <c r="G45" s="88" t="s">
        <v>208</v>
      </c>
      <c r="H45" s="81" t="s">
        <v>208</v>
      </c>
      <c r="I45" s="88" t="s">
        <v>208</v>
      </c>
      <c r="J45" s="88" t="s">
        <v>208</v>
      </c>
      <c r="K45" s="83">
        <f>C45</f>
        <v>10.73</v>
      </c>
      <c r="L45" s="88" t="s">
        <v>208</v>
      </c>
      <c r="M45" s="102">
        <f>C45</f>
        <v>10.73</v>
      </c>
      <c r="N45" s="81" t="s">
        <v>208</v>
      </c>
      <c r="O45" s="102">
        <f>C45</f>
        <v>10.73</v>
      </c>
      <c r="P45" s="106" t="s">
        <v>208</v>
      </c>
    </row>
    <row r="46" spans="1:16" s="97" customFormat="1" ht="15">
      <c r="A46" s="113" t="s">
        <v>221</v>
      </c>
      <c r="B46" s="96" t="s">
        <v>233</v>
      </c>
      <c r="C46" s="434">
        <v>0.25</v>
      </c>
      <c r="D46" s="100">
        <f>C46</f>
        <v>0.25</v>
      </c>
      <c r="E46" s="101" t="s">
        <v>208</v>
      </c>
      <c r="F46" s="100">
        <f>C46</f>
        <v>0.25</v>
      </c>
      <c r="G46" s="101" t="s">
        <v>208</v>
      </c>
      <c r="H46" s="101" t="s">
        <v>208</v>
      </c>
      <c r="I46" s="100">
        <f>C46</f>
        <v>0.25</v>
      </c>
      <c r="J46" s="101" t="s">
        <v>208</v>
      </c>
      <c r="K46" s="100">
        <f>C46</f>
        <v>0.25</v>
      </c>
      <c r="L46" s="101" t="s">
        <v>208</v>
      </c>
      <c r="M46" s="100">
        <f>C46</f>
        <v>0.25</v>
      </c>
      <c r="N46" s="101" t="s">
        <v>208</v>
      </c>
      <c r="O46" s="100">
        <f>C46</f>
        <v>0.25</v>
      </c>
      <c r="P46" s="114" t="s">
        <v>208</v>
      </c>
    </row>
    <row r="47" spans="1:16" ht="30">
      <c r="A47" s="105" t="s">
        <v>222</v>
      </c>
      <c r="B47" s="98" t="s">
        <v>287</v>
      </c>
      <c r="C47" s="88" t="s">
        <v>208</v>
      </c>
      <c r="D47" s="88" t="s">
        <v>208</v>
      </c>
      <c r="E47" s="80">
        <f>IF(D34=0,0,D30/1000/D34)</f>
        <v>0.17878566712869315</v>
      </c>
      <c r="F47" s="88" t="s">
        <v>208</v>
      </c>
      <c r="G47" s="80">
        <f>IF(F34=0,0,F30/1000/F34)</f>
        <v>0.18200136177185341</v>
      </c>
      <c r="H47" s="101" t="s">
        <v>208</v>
      </c>
      <c r="I47" s="88" t="s">
        <v>208</v>
      </c>
      <c r="J47" s="80">
        <f>IF(I34=0,0,I30/1000/I34)</f>
        <v>0.17756756756756759</v>
      </c>
      <c r="K47" s="88" t="s">
        <v>208</v>
      </c>
      <c r="L47" s="80">
        <f>IF(K35=0,0,K30/1000/K35)</f>
        <v>0.07172882028015035</v>
      </c>
      <c r="M47" s="88" t="s">
        <v>208</v>
      </c>
      <c r="N47" s="80">
        <f>IF(M35=0,0,M30/1000/M35)</f>
        <v>0.07172882028015035</v>
      </c>
      <c r="O47" s="88" t="s">
        <v>208</v>
      </c>
      <c r="P47" s="115">
        <f>IF(O35=0,0,O30/1000/O35)</f>
        <v>0</v>
      </c>
    </row>
    <row r="48" spans="1:16" ht="15">
      <c r="A48" s="105" t="s">
        <v>224</v>
      </c>
      <c r="B48" s="98" t="s">
        <v>235</v>
      </c>
      <c r="C48" s="88" t="s">
        <v>208</v>
      </c>
      <c r="D48" s="88" t="s">
        <v>208</v>
      </c>
      <c r="E48" s="157">
        <f>'д.2 тарифи 869 пост за табл 7.1'!C26</f>
        <v>191</v>
      </c>
      <c r="F48" s="88" t="s">
        <v>208</v>
      </c>
      <c r="G48" s="88" t="s">
        <v>208</v>
      </c>
      <c r="H48" s="101" t="s">
        <v>208</v>
      </c>
      <c r="I48" s="88" t="s">
        <v>208</v>
      </c>
      <c r="J48" s="88" t="s">
        <v>208</v>
      </c>
      <c r="K48" s="88" t="s">
        <v>208</v>
      </c>
      <c r="L48" s="88" t="s">
        <v>208</v>
      </c>
      <c r="M48" s="88" t="s">
        <v>208</v>
      </c>
      <c r="N48" s="88" t="s">
        <v>208</v>
      </c>
      <c r="O48" s="88" t="s">
        <v>208</v>
      </c>
      <c r="P48" s="106" t="s">
        <v>208</v>
      </c>
    </row>
    <row r="49" spans="1:16" ht="16.5" customHeight="1" thickBot="1">
      <c r="A49" s="107" t="s">
        <v>227</v>
      </c>
      <c r="B49" s="10" t="s">
        <v>284</v>
      </c>
      <c r="C49" s="109" t="s">
        <v>208</v>
      </c>
      <c r="D49" s="109" t="s">
        <v>208</v>
      </c>
      <c r="E49" s="425">
        <f>'д.2 тарифи 869 пост за табл 7.1'!C27</f>
        <v>-0.5</v>
      </c>
      <c r="F49" s="109" t="s">
        <v>208</v>
      </c>
      <c r="G49" s="109" t="s">
        <v>208</v>
      </c>
      <c r="H49" s="101" t="s">
        <v>208</v>
      </c>
      <c r="I49" s="109" t="s">
        <v>208</v>
      </c>
      <c r="J49" s="109" t="s">
        <v>208</v>
      </c>
      <c r="K49" s="109" t="s">
        <v>208</v>
      </c>
      <c r="L49" s="109" t="s">
        <v>208</v>
      </c>
      <c r="M49" s="109" t="s">
        <v>208</v>
      </c>
      <c r="N49" s="109" t="s">
        <v>208</v>
      </c>
      <c r="O49" s="109" t="s">
        <v>208</v>
      </c>
      <c r="P49" s="116" t="s">
        <v>208</v>
      </c>
    </row>
    <row r="50" spans="1:16" ht="15">
      <c r="A50" s="582" t="s">
        <v>234</v>
      </c>
      <c r="B50" s="583"/>
      <c r="C50" s="583"/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/>
      <c r="O50" s="583"/>
      <c r="P50" s="584"/>
    </row>
    <row r="51" spans="1:16" ht="30">
      <c r="A51" s="105" t="s">
        <v>8</v>
      </c>
      <c r="B51" s="98" t="s">
        <v>286</v>
      </c>
      <c r="C51" s="88" t="s">
        <v>208</v>
      </c>
      <c r="D51" s="88" t="s">
        <v>208</v>
      </c>
      <c r="E51" s="202"/>
      <c r="F51" s="88" t="s">
        <v>208</v>
      </c>
      <c r="G51" s="202"/>
      <c r="H51" s="88" t="s">
        <v>208</v>
      </c>
      <c r="I51" s="88" t="s">
        <v>208</v>
      </c>
      <c r="J51" s="202"/>
      <c r="K51" s="88" t="s">
        <v>208</v>
      </c>
      <c r="L51" s="202"/>
      <c r="M51" s="88" t="s">
        <v>208</v>
      </c>
      <c r="N51" s="138">
        <v>0.059</v>
      </c>
      <c r="O51" s="88" t="s">
        <v>208</v>
      </c>
      <c r="P51" s="139">
        <v>0.059</v>
      </c>
    </row>
    <row r="52" spans="1:16" ht="30">
      <c r="A52" s="105" t="s">
        <v>9</v>
      </c>
      <c r="B52" s="98" t="s">
        <v>253</v>
      </c>
      <c r="C52" s="88" t="s">
        <v>208</v>
      </c>
      <c r="D52" s="88" t="s">
        <v>208</v>
      </c>
      <c r="E52" s="191">
        <f>'д.2 тарифи 869 пост за табл 7.1'!C26</f>
        <v>191</v>
      </c>
      <c r="F52" s="88" t="s">
        <v>208</v>
      </c>
      <c r="G52" s="88" t="s">
        <v>208</v>
      </c>
      <c r="H52" s="88" t="s">
        <v>208</v>
      </c>
      <c r="I52" s="88" t="s">
        <v>208</v>
      </c>
      <c r="J52" s="88" t="s">
        <v>208</v>
      </c>
      <c r="K52" s="88" t="s">
        <v>208</v>
      </c>
      <c r="L52" s="88" t="s">
        <v>208</v>
      </c>
      <c r="M52" s="88" t="s">
        <v>208</v>
      </c>
      <c r="N52" s="88" t="s">
        <v>208</v>
      </c>
      <c r="O52" s="88" t="s">
        <v>208</v>
      </c>
      <c r="P52" s="106" t="s">
        <v>208</v>
      </c>
    </row>
    <row r="53" spans="1:16" ht="33.75" customHeight="1">
      <c r="A53" s="105" t="s">
        <v>13</v>
      </c>
      <c r="B53" s="3" t="s">
        <v>285</v>
      </c>
      <c r="C53" s="88" t="s">
        <v>208</v>
      </c>
      <c r="D53" s="88" t="s">
        <v>208</v>
      </c>
      <c r="E53" s="430">
        <f>'д.2 тарифи 869 пост за табл 7.1'!C27</f>
        <v>-0.5</v>
      </c>
      <c r="F53" s="88" t="s">
        <v>208</v>
      </c>
      <c r="G53" s="88" t="s">
        <v>208</v>
      </c>
      <c r="H53" s="88" t="s">
        <v>208</v>
      </c>
      <c r="I53" s="88" t="s">
        <v>208</v>
      </c>
      <c r="J53" s="88" t="s">
        <v>208</v>
      </c>
      <c r="K53" s="88" t="s">
        <v>208</v>
      </c>
      <c r="L53" s="88" t="s">
        <v>208</v>
      </c>
      <c r="M53" s="88" t="s">
        <v>208</v>
      </c>
      <c r="N53" s="88" t="s">
        <v>208</v>
      </c>
      <c r="O53" s="88" t="s">
        <v>208</v>
      </c>
      <c r="P53" s="106" t="s">
        <v>208</v>
      </c>
    </row>
    <row r="54" spans="1:16" ht="15">
      <c r="A54" s="105" t="s">
        <v>17</v>
      </c>
      <c r="B54" s="98" t="s">
        <v>297</v>
      </c>
      <c r="C54" s="88" t="s">
        <v>208</v>
      </c>
      <c r="D54" s="88" t="s">
        <v>208</v>
      </c>
      <c r="E54" s="138"/>
      <c r="F54" s="88" t="s">
        <v>208</v>
      </c>
      <c r="G54" s="138">
        <v>0</v>
      </c>
      <c r="H54" s="138">
        <v>83.13</v>
      </c>
      <c r="I54" s="88" t="s">
        <v>208</v>
      </c>
      <c r="J54" s="138"/>
      <c r="K54" s="88" t="s">
        <v>208</v>
      </c>
      <c r="L54" s="202">
        <v>5.76</v>
      </c>
      <c r="M54" s="88" t="s">
        <v>208</v>
      </c>
      <c r="N54" s="138">
        <v>0</v>
      </c>
      <c r="O54" s="88" t="s">
        <v>208</v>
      </c>
      <c r="P54" s="139">
        <v>0</v>
      </c>
    </row>
    <row r="55" spans="1:16" ht="30">
      <c r="A55" s="105" t="s">
        <v>18</v>
      </c>
      <c r="B55" s="98" t="s">
        <v>296</v>
      </c>
      <c r="C55" s="88" t="s">
        <v>208</v>
      </c>
      <c r="D55" s="88" t="s">
        <v>208</v>
      </c>
      <c r="E55" s="138"/>
      <c r="F55" s="88" t="s">
        <v>208</v>
      </c>
      <c r="G55" s="138">
        <v>0</v>
      </c>
      <c r="H55" s="138">
        <v>0</v>
      </c>
      <c r="I55" s="88" t="s">
        <v>208</v>
      </c>
      <c r="J55" s="138">
        <v>2.39</v>
      </c>
      <c r="K55" s="88" t="s">
        <v>208</v>
      </c>
      <c r="L55" s="88" t="s">
        <v>208</v>
      </c>
      <c r="M55" s="88" t="s">
        <v>208</v>
      </c>
      <c r="N55" s="88" t="s">
        <v>208</v>
      </c>
      <c r="O55" s="88" t="s">
        <v>208</v>
      </c>
      <c r="P55" s="106" t="s">
        <v>208</v>
      </c>
    </row>
    <row r="56" spans="1:16" ht="30">
      <c r="A56" s="105" t="s">
        <v>25</v>
      </c>
      <c r="B56" s="98" t="s">
        <v>236</v>
      </c>
      <c r="C56" s="88" t="s">
        <v>208</v>
      </c>
      <c r="D56" s="88" t="s">
        <v>208</v>
      </c>
      <c r="E56" s="138"/>
      <c r="F56" s="88" t="s">
        <v>208</v>
      </c>
      <c r="G56" s="138">
        <v>0</v>
      </c>
      <c r="H56" s="88" t="s">
        <v>208</v>
      </c>
      <c r="I56" s="88" t="s">
        <v>208</v>
      </c>
      <c r="J56" s="138"/>
      <c r="K56" s="88" t="s">
        <v>208</v>
      </c>
      <c r="L56" s="88" t="s">
        <v>208</v>
      </c>
      <c r="M56" s="88" t="s">
        <v>208</v>
      </c>
      <c r="N56" s="88" t="s">
        <v>208</v>
      </c>
      <c r="O56" s="88" t="s">
        <v>208</v>
      </c>
      <c r="P56" s="106" t="s">
        <v>208</v>
      </c>
    </row>
    <row r="57" spans="1:16" ht="15.75" thickBot="1">
      <c r="A57" s="107" t="s">
        <v>32</v>
      </c>
      <c r="B57" s="108" t="s">
        <v>237</v>
      </c>
      <c r="C57" s="109" t="s">
        <v>208</v>
      </c>
      <c r="D57" s="109" t="s">
        <v>208</v>
      </c>
      <c r="E57" s="109" t="s">
        <v>208</v>
      </c>
      <c r="F57" s="109" t="s">
        <v>208</v>
      </c>
      <c r="G57" s="109" t="s">
        <v>208</v>
      </c>
      <c r="H57" s="109" t="s">
        <v>208</v>
      </c>
      <c r="I57" s="109" t="s">
        <v>208</v>
      </c>
      <c r="J57" s="109" t="s">
        <v>208</v>
      </c>
      <c r="K57" s="109" t="s">
        <v>208</v>
      </c>
      <c r="L57" s="140"/>
      <c r="M57" s="109" t="s">
        <v>208</v>
      </c>
      <c r="N57" s="140">
        <v>0</v>
      </c>
      <c r="O57" s="109"/>
      <c r="P57" s="141">
        <v>0</v>
      </c>
    </row>
    <row r="58" spans="1:16" ht="15">
      <c r="A58" s="142"/>
      <c r="B58" s="143" t="s">
        <v>38</v>
      </c>
      <c r="C58" s="144"/>
      <c r="D58" s="144" t="s">
        <v>39</v>
      </c>
      <c r="E58" s="489" t="s">
        <v>400</v>
      </c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</row>
    <row r="59" spans="1:16" ht="15">
      <c r="A59" s="142"/>
      <c r="B59" s="143"/>
      <c r="C59" s="144"/>
      <c r="D59" s="144" t="s">
        <v>42</v>
      </c>
      <c r="E59" s="144" t="s">
        <v>41</v>
      </c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</row>
    <row r="60" spans="1:16" ht="15">
      <c r="A60" s="142"/>
      <c r="B60" s="143" t="s">
        <v>43</v>
      </c>
      <c r="C60" s="144"/>
      <c r="D60" s="144" t="s">
        <v>397</v>
      </c>
      <c r="E60" s="144" t="s">
        <v>398</v>
      </c>
      <c r="F60" s="144" t="s">
        <v>399</v>
      </c>
      <c r="G60" s="144"/>
      <c r="H60" s="144"/>
      <c r="I60" s="144"/>
      <c r="J60" s="144"/>
      <c r="K60" s="144"/>
      <c r="L60" s="144"/>
      <c r="M60" s="144"/>
      <c r="N60" s="144"/>
      <c r="O60" s="144"/>
      <c r="P60" s="144"/>
    </row>
    <row r="61" spans="1:16" ht="15">
      <c r="A61" s="142"/>
      <c r="B61" s="143"/>
      <c r="C61" s="144"/>
      <c r="D61" s="144" t="s">
        <v>44</v>
      </c>
      <c r="E61" s="144" t="s">
        <v>41</v>
      </c>
      <c r="F61" s="144" t="s">
        <v>47</v>
      </c>
      <c r="G61" s="144"/>
      <c r="H61" s="144"/>
      <c r="I61" s="144"/>
      <c r="J61" s="144"/>
      <c r="K61" s="144"/>
      <c r="L61" s="144"/>
      <c r="M61" s="144"/>
      <c r="N61" s="144"/>
      <c r="O61" s="144"/>
      <c r="P61" s="144"/>
    </row>
    <row r="62" ht="15">
      <c r="B62" s="70"/>
    </row>
    <row r="63" ht="15">
      <c r="B63" s="70"/>
    </row>
    <row r="64" ht="15">
      <c r="B64" s="70"/>
    </row>
    <row r="65" ht="15">
      <c r="B65" s="70"/>
    </row>
    <row r="66" ht="15">
      <c r="B66" s="70"/>
    </row>
    <row r="67" ht="15">
      <c r="B67" s="70"/>
    </row>
    <row r="68" ht="15">
      <c r="B68" s="70"/>
    </row>
    <row r="69" ht="15">
      <c r="B69" s="70"/>
    </row>
    <row r="70" ht="15">
      <c r="B70" s="70"/>
    </row>
    <row r="71" ht="15">
      <c r="B71" s="70"/>
    </row>
    <row r="72" ht="15">
      <c r="B72" s="70"/>
    </row>
    <row r="73" ht="15">
      <c r="B73" s="70"/>
    </row>
    <row r="74" ht="15">
      <c r="B74" s="70"/>
    </row>
    <row r="75" ht="15">
      <c r="B75" s="70"/>
    </row>
    <row r="76" ht="15">
      <c r="B76" s="70"/>
    </row>
    <row r="77" ht="15">
      <c r="B77" s="70"/>
    </row>
    <row r="78" ht="15">
      <c r="B78" s="70"/>
    </row>
    <row r="79" ht="15">
      <c r="B79" s="70"/>
    </row>
    <row r="80" ht="15">
      <c r="B80" s="70"/>
    </row>
    <row r="81" ht="15">
      <c r="B81" s="70"/>
    </row>
    <row r="82" ht="15">
      <c r="B82" s="70"/>
    </row>
    <row r="83" ht="15">
      <c r="B83" s="70"/>
    </row>
    <row r="84" ht="15">
      <c r="B84" s="70"/>
    </row>
    <row r="85" ht="15">
      <c r="B85" s="70"/>
    </row>
    <row r="86" ht="15">
      <c r="B86" s="70"/>
    </row>
  </sheetData>
  <sheetProtection/>
  <mergeCells count="22">
    <mergeCell ref="A1:P1"/>
    <mergeCell ref="A2:P2"/>
    <mergeCell ref="A3:A7"/>
    <mergeCell ref="B3:B7"/>
    <mergeCell ref="C3:C6"/>
    <mergeCell ref="D3:P3"/>
    <mergeCell ref="A50:P50"/>
    <mergeCell ref="A29:P29"/>
    <mergeCell ref="I5:I6"/>
    <mergeCell ref="J5:J6"/>
    <mergeCell ref="M5:M6"/>
    <mergeCell ref="N5:N6"/>
    <mergeCell ref="G5:H5"/>
    <mergeCell ref="D4:D6"/>
    <mergeCell ref="M4:P4"/>
    <mergeCell ref="F5:F6"/>
    <mergeCell ref="E4:E6"/>
    <mergeCell ref="O5:O6"/>
    <mergeCell ref="K4:K6"/>
    <mergeCell ref="L4:L6"/>
    <mergeCell ref="P5:P6"/>
    <mergeCell ref="F4:J4"/>
  </mergeCells>
  <printOptions/>
  <pageMargins left="0.64" right="0.59" top="0.17" bottom="0.19" header="0.17" footer="0.17"/>
  <pageSetup fitToHeight="2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P61"/>
    </sheetView>
  </sheetViews>
  <sheetFormatPr defaultColWidth="9.140625" defaultRowHeight="15"/>
  <cols>
    <col min="1" max="1" width="7.140625" style="99" customWidth="1"/>
    <col min="2" max="2" width="79.00390625" style="69" customWidth="1"/>
    <col min="3" max="3" width="15.140625" style="69" customWidth="1"/>
    <col min="4" max="4" width="15.421875" style="69" customWidth="1"/>
    <col min="5" max="5" width="10.7109375" style="69" customWidth="1"/>
    <col min="6" max="6" width="13.140625" style="69" customWidth="1"/>
    <col min="7" max="8" width="9.57421875" style="69" customWidth="1"/>
    <col min="9" max="9" width="12.8515625" style="69" customWidth="1"/>
    <col min="10" max="10" width="9.7109375" style="69" customWidth="1"/>
    <col min="11" max="11" width="12.7109375" style="69" customWidth="1"/>
    <col min="12" max="12" width="10.421875" style="69" customWidth="1"/>
    <col min="13" max="13" width="13.57421875" style="69" customWidth="1"/>
    <col min="14" max="14" width="10.421875" style="69" customWidth="1"/>
    <col min="15" max="15" width="12.8515625" style="69" customWidth="1"/>
    <col min="16" max="16" width="10.421875" style="69" customWidth="1"/>
    <col min="17" max="17" width="9.140625" style="69" customWidth="1"/>
    <col min="18" max="18" width="12.00390625" style="69" customWidth="1"/>
    <col min="19" max="16384" width="9.140625" style="69" customWidth="1"/>
  </cols>
  <sheetData>
    <row r="1" spans="1:16" ht="15">
      <c r="A1" s="586" t="s">
        <v>271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</row>
    <row r="2" spans="1:16" ht="15.75" thickBot="1">
      <c r="A2" s="587" t="str">
        <f>Додаток4!A7</f>
        <v>КУЗНЄЦОВСЬКОГО МІСЬКОГО КОМУНАЛЬНОГО ПІДПРИЄМСТВА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</row>
    <row r="3" spans="1:16" s="70" customFormat="1" ht="15">
      <c r="A3" s="588" t="s">
        <v>28</v>
      </c>
      <c r="B3" s="545" t="s">
        <v>183</v>
      </c>
      <c r="C3" s="592" t="s">
        <v>184</v>
      </c>
      <c r="D3" s="595" t="s">
        <v>27</v>
      </c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6"/>
    </row>
    <row r="4" spans="1:16" s="70" customFormat="1" ht="15" customHeight="1">
      <c r="A4" s="589"/>
      <c r="B4" s="591"/>
      <c r="C4" s="593"/>
      <c r="D4" s="579" t="s">
        <v>185</v>
      </c>
      <c r="E4" s="549" t="s">
        <v>186</v>
      </c>
      <c r="F4" s="549" t="s">
        <v>27</v>
      </c>
      <c r="G4" s="549"/>
      <c r="H4" s="549"/>
      <c r="I4" s="549"/>
      <c r="J4" s="549"/>
      <c r="K4" s="579" t="s">
        <v>251</v>
      </c>
      <c r="L4" s="549" t="s">
        <v>187</v>
      </c>
      <c r="M4" s="549" t="s">
        <v>27</v>
      </c>
      <c r="N4" s="549"/>
      <c r="O4" s="549"/>
      <c r="P4" s="585"/>
    </row>
    <row r="5" spans="1:16" s="70" customFormat="1" ht="15" customHeight="1">
      <c r="A5" s="589"/>
      <c r="B5" s="591"/>
      <c r="C5" s="593"/>
      <c r="D5" s="579"/>
      <c r="E5" s="549"/>
      <c r="F5" s="578" t="s">
        <v>188</v>
      </c>
      <c r="G5" s="523" t="s">
        <v>292</v>
      </c>
      <c r="H5" s="523"/>
      <c r="I5" s="549" t="s">
        <v>189</v>
      </c>
      <c r="J5" s="549" t="s">
        <v>186</v>
      </c>
      <c r="K5" s="579"/>
      <c r="L5" s="549"/>
      <c r="M5" s="578" t="s">
        <v>238</v>
      </c>
      <c r="N5" s="578" t="s">
        <v>187</v>
      </c>
      <c r="O5" s="578" t="s">
        <v>239</v>
      </c>
      <c r="P5" s="580" t="s">
        <v>187</v>
      </c>
    </row>
    <row r="6" spans="1:16" s="70" customFormat="1" ht="60.75" customHeight="1">
      <c r="A6" s="589"/>
      <c r="B6" s="591"/>
      <c r="C6" s="594"/>
      <c r="D6" s="579"/>
      <c r="E6" s="549"/>
      <c r="F6" s="546"/>
      <c r="G6" s="192" t="s">
        <v>293</v>
      </c>
      <c r="H6" s="192" t="s">
        <v>294</v>
      </c>
      <c r="I6" s="549"/>
      <c r="J6" s="549"/>
      <c r="K6" s="579"/>
      <c r="L6" s="549"/>
      <c r="M6" s="546"/>
      <c r="N6" s="546"/>
      <c r="O6" s="546"/>
      <c r="P6" s="581"/>
    </row>
    <row r="7" spans="1:16" s="70" customFormat="1" ht="30">
      <c r="A7" s="590"/>
      <c r="B7" s="546"/>
      <c r="C7" s="5" t="s">
        <v>190</v>
      </c>
      <c r="D7" s="5" t="s">
        <v>190</v>
      </c>
      <c r="E7" s="5" t="s">
        <v>191</v>
      </c>
      <c r="F7" s="5" t="s">
        <v>190</v>
      </c>
      <c r="G7" s="5" t="s">
        <v>191</v>
      </c>
      <c r="H7" s="192" t="s">
        <v>295</v>
      </c>
      <c r="I7" s="5" t="s">
        <v>190</v>
      </c>
      <c r="J7" s="5" t="s">
        <v>191</v>
      </c>
      <c r="K7" s="5" t="s">
        <v>190</v>
      </c>
      <c r="L7" s="5" t="s">
        <v>192</v>
      </c>
      <c r="M7" s="5" t="s">
        <v>190</v>
      </c>
      <c r="N7" s="5" t="s">
        <v>192</v>
      </c>
      <c r="O7" s="5" t="s">
        <v>190</v>
      </c>
      <c r="P7" s="13" t="s">
        <v>192</v>
      </c>
    </row>
    <row r="8" spans="1:16" s="70" customFormat="1" ht="15.75" thickBot="1">
      <c r="A8" s="128">
        <v>1</v>
      </c>
      <c r="B8" s="15">
        <v>2</v>
      </c>
      <c r="C8" s="16">
        <v>3</v>
      </c>
      <c r="D8" s="16" t="s">
        <v>193</v>
      </c>
      <c r="E8" s="16"/>
      <c r="F8" s="16" t="s">
        <v>194</v>
      </c>
      <c r="G8" s="16"/>
      <c r="H8" s="16"/>
      <c r="I8" s="16" t="s">
        <v>195</v>
      </c>
      <c r="J8" s="16"/>
      <c r="K8" s="16" t="s">
        <v>196</v>
      </c>
      <c r="L8" s="16"/>
      <c r="M8" s="16" t="s">
        <v>197</v>
      </c>
      <c r="N8" s="16"/>
      <c r="O8" s="16" t="s">
        <v>198</v>
      </c>
      <c r="P8" s="17"/>
    </row>
    <row r="9" spans="1:16" ht="30">
      <c r="A9" s="117" t="s">
        <v>8</v>
      </c>
      <c r="B9" s="118" t="s">
        <v>257</v>
      </c>
      <c r="C9" s="336">
        <f>собіварт!C9</f>
        <v>15476.817196786938</v>
      </c>
      <c r="D9" s="337">
        <f>F9+I9</f>
        <v>10964.735870554054</v>
      </c>
      <c r="E9" s="338">
        <f>IF($D$34=0,0,D9/$D$34)</f>
        <v>16.67533917309321</v>
      </c>
      <c r="F9" s="336">
        <f>собіварт!F9</f>
        <v>3066.5310600000003</v>
      </c>
      <c r="G9" s="338">
        <f>IF($F$34=0,0,F9/$F$34)</f>
        <v>16.97526701246077</v>
      </c>
      <c r="H9" s="339">
        <f>IF($F$30=0,0,F9/$F$30)*1000</f>
        <v>93.27000000000001</v>
      </c>
      <c r="I9" s="336">
        <f>собіварт!I9</f>
        <v>7898.204810554053</v>
      </c>
      <c r="J9" s="338">
        <f>IF($I$34=0,0,I9/$I$34)</f>
        <v>16.561727027027025</v>
      </c>
      <c r="K9" s="340">
        <f>M9+O9</f>
        <v>4512.081326232886</v>
      </c>
      <c r="L9" s="338">
        <f>IF($K$35=0,0,K9/$K$35)</f>
        <v>6.690147067529622</v>
      </c>
      <c r="M9" s="336">
        <f>собіварт!M9</f>
        <v>4512.081326232886</v>
      </c>
      <c r="N9" s="338">
        <f>IF($M$35=0,0,M9/$M$35)</f>
        <v>6.690147067529622</v>
      </c>
      <c r="O9" s="336">
        <f>собіварт!O9</f>
        <v>0</v>
      </c>
      <c r="P9" s="341">
        <f>IF($O$30=0,N9*1.1/1.2,O9/$O$35)</f>
        <v>6.132634811902155</v>
      </c>
    </row>
    <row r="10" spans="1:16" ht="15">
      <c r="A10" s="105" t="s">
        <v>9</v>
      </c>
      <c r="B10" s="72" t="s">
        <v>199</v>
      </c>
      <c r="C10" s="342">
        <f>собіварт!C10</f>
        <v>806.7928319999999</v>
      </c>
      <c r="D10" s="343">
        <f>F10+I10</f>
        <v>389.47150230381436</v>
      </c>
      <c r="E10" s="344">
        <f>IF($D$34=0,0,D10/$D$34)</f>
        <v>0.5923142587147504</v>
      </c>
      <c r="F10" s="103">
        <f>F11+F12+F13</f>
        <v>108.924325483014</v>
      </c>
      <c r="G10" s="344">
        <f>IF($F$34=0,0,F10/$F$34)</f>
        <v>0.6029678072872177</v>
      </c>
      <c r="H10" s="344">
        <f>IF($F$30=0,0,F10/$F$30)*1000</f>
        <v>3.3129851415236327</v>
      </c>
      <c r="I10" s="103">
        <f>I11+I12+I13</f>
        <v>280.54717682080036</v>
      </c>
      <c r="J10" s="344">
        <f>IF($I$34=0,0,I10/$I$34)</f>
        <v>0.5882787129678448</v>
      </c>
      <c r="K10" s="103">
        <f aca="true" t="shared" si="0" ref="K10:K24">M10+O10</f>
        <v>417.32132969618556</v>
      </c>
      <c r="L10" s="344">
        <f aca="true" t="shared" si="1" ref="L10:L24">IF($K$35=0,0,K10/$K$35)</f>
        <v>0.618770112553684</v>
      </c>
      <c r="M10" s="103">
        <f>M11+M12+M13</f>
        <v>417.32132969618556</v>
      </c>
      <c r="N10" s="344">
        <f aca="true" t="shared" si="2" ref="N10:N24">IF($M$35=0,0,M10/$M$35)</f>
        <v>0.618770112553684</v>
      </c>
      <c r="O10" s="103">
        <f>O11+O12+O13</f>
        <v>0</v>
      </c>
      <c r="P10" s="345">
        <f>IF($O$30=0,N10,O10/$O$35)</f>
        <v>0.618770112553684</v>
      </c>
    </row>
    <row r="11" spans="1:16" ht="15">
      <c r="A11" s="105" t="s">
        <v>200</v>
      </c>
      <c r="B11" s="72" t="s">
        <v>201</v>
      </c>
      <c r="C11" s="342">
        <f>собіварт!C11</f>
        <v>661.3055999999999</v>
      </c>
      <c r="D11" s="343">
        <f>F11+I11</f>
        <v>319.2389363146019</v>
      </c>
      <c r="E11" s="344">
        <f>IF($D$34=0,0,D11/$D$34)</f>
        <v>0.4855034907497954</v>
      </c>
      <c r="F11" s="103">
        <f>IF($C$9+$C$15=0,0,C11*F9/($C$9+$C$15))</f>
        <v>89.28223400247049</v>
      </c>
      <c r="G11" s="344">
        <f>IF($F$34=0,0,F11/$F$34)</f>
        <v>0.49423590761247344</v>
      </c>
      <c r="H11" s="344">
        <f>IF($F$30=0,0,F11/$F$30)*1000</f>
        <v>2.7155615914128135</v>
      </c>
      <c r="I11" s="103">
        <f>IF($C$9+$C$15=0,0,C11*I9/($C$9+$C$15))</f>
        <v>229.95670231213145</v>
      </c>
      <c r="J11" s="344">
        <f>IF($I$34=0,0,I11/$I$34)</f>
        <v>0.482195666367086</v>
      </c>
      <c r="K11" s="103">
        <f t="shared" si="0"/>
        <v>342.066663685398</v>
      </c>
      <c r="L11" s="344">
        <f t="shared" si="1"/>
        <v>0.507188616847282</v>
      </c>
      <c r="M11" s="103">
        <f>IF($C$9+$C$15=0,0,C11*(M9+M15)/($C$9+$C$15))</f>
        <v>342.066663685398</v>
      </c>
      <c r="N11" s="344">
        <f t="shared" si="2"/>
        <v>0.507188616847282</v>
      </c>
      <c r="O11" s="103">
        <f>IF($C$9+$C$15=0,0,C11*(O9+O15)/($C$9+$C$15))</f>
        <v>0</v>
      </c>
      <c r="P11" s="345">
        <f aca="true" t="shared" si="3" ref="P11:P22">IF($O$30=0,N11,O11/$O$35)</f>
        <v>0.507188616847282</v>
      </c>
    </row>
    <row r="12" spans="1:20" ht="15">
      <c r="A12" s="105" t="s">
        <v>202</v>
      </c>
      <c r="B12" s="72" t="s">
        <v>203</v>
      </c>
      <c r="C12" s="342">
        <f>собіварт!C12</f>
        <v>145.487232</v>
      </c>
      <c r="D12" s="343">
        <f>F12+I12</f>
        <v>70.23256598921245</v>
      </c>
      <c r="E12" s="344">
        <f>IF($D$34=0,0,D12/$D$34)</f>
        <v>0.10681076796495502</v>
      </c>
      <c r="F12" s="103">
        <f>IF($C$9+$C$15=0,0,C12*F9/($C$9+$C$15))</f>
        <v>19.64209148054351</v>
      </c>
      <c r="G12" s="344">
        <f>IF($F$34=0,0,F12/$F$34)</f>
        <v>0.10873189967474417</v>
      </c>
      <c r="H12" s="344">
        <f>IF($F$30=0,0,F12/$F$30)*1000</f>
        <v>0.5974235501108192</v>
      </c>
      <c r="I12" s="103">
        <f>IF($C$9+$C$15=0,0,C12*I9/($C$9+$C$15))</f>
        <v>50.59047450866893</v>
      </c>
      <c r="J12" s="344">
        <f>IF($I$34=0,0,I12/$I$34)</f>
        <v>0.10608304660075894</v>
      </c>
      <c r="K12" s="103">
        <f t="shared" si="0"/>
        <v>75.25466601078757</v>
      </c>
      <c r="L12" s="344">
        <f t="shared" si="1"/>
        <v>0.11158149570640205</v>
      </c>
      <c r="M12" s="103">
        <f>IF($C$9+$C$15=0,0,C12*(M9+M15)/($C$9+$C$15))</f>
        <v>75.25466601078757</v>
      </c>
      <c r="N12" s="344">
        <f t="shared" si="2"/>
        <v>0.11158149570640205</v>
      </c>
      <c r="O12" s="103">
        <f>IF($C$9+$C$15=0,0,C12*(O9+O15)/($C$9+$C$15))</f>
        <v>0</v>
      </c>
      <c r="P12" s="345">
        <f t="shared" si="3"/>
        <v>0.11158149570640205</v>
      </c>
      <c r="Q12" s="69">
        <f>F12/F11*100</f>
        <v>22.000000000000004</v>
      </c>
      <c r="R12" s="69">
        <f>I12/I11*100</f>
        <v>22.000000000000007</v>
      </c>
      <c r="S12" s="69">
        <f>M12/M11*100</f>
        <v>22.000000000000004</v>
      </c>
      <c r="T12" s="69" t="e">
        <f>O12/O11*100</f>
        <v>#DIV/0!</v>
      </c>
    </row>
    <row r="13" spans="1:16" ht="15">
      <c r="A13" s="105" t="s">
        <v>204</v>
      </c>
      <c r="B13" s="72" t="s">
        <v>205</v>
      </c>
      <c r="C13" s="342">
        <f>собіварт!C13</f>
        <v>0</v>
      </c>
      <c r="D13" s="343">
        <f>F13+I13</f>
        <v>0</v>
      </c>
      <c r="E13" s="344">
        <f>IF($D$34=0,0,D13/$D$34)</f>
        <v>0</v>
      </c>
      <c r="F13" s="103">
        <f>IF($C$9+$C$15=0,0,C13*F9/($C$9+$C$15))</f>
        <v>0</v>
      </c>
      <c r="G13" s="344">
        <f>IF($F$34=0,0,F13/$F$34)</f>
        <v>0</v>
      </c>
      <c r="H13" s="344">
        <f>IF($F$30=0,0,F13/$F$30)*1000</f>
        <v>0</v>
      </c>
      <c r="I13" s="103">
        <f>IF($C$9+$C$15=0,0,C13*I9/($C$9+$C$15))</f>
        <v>0</v>
      </c>
      <c r="J13" s="344">
        <f>IF($I$34=0,0,I13/$I$34)</f>
        <v>0</v>
      </c>
      <c r="K13" s="103">
        <f t="shared" si="0"/>
        <v>0</v>
      </c>
      <c r="L13" s="344">
        <f t="shared" si="1"/>
        <v>0</v>
      </c>
      <c r="M13" s="103">
        <f>IF($C$9+$C$15=0,0,C13*(M9+M15)/($C$9+$C$15))</f>
        <v>0</v>
      </c>
      <c r="N13" s="344">
        <f t="shared" si="2"/>
        <v>0</v>
      </c>
      <c r="O13" s="103">
        <f>IF($C$9+$C$15=0,0,C13*(O9+O15)/($C$9+$C$15))</f>
        <v>0</v>
      </c>
      <c r="P13" s="345">
        <f t="shared" si="3"/>
        <v>0</v>
      </c>
    </row>
    <row r="14" spans="1:16" ht="16.5" customHeight="1">
      <c r="A14" s="105" t="s">
        <v>13</v>
      </c>
      <c r="B14" s="72" t="s">
        <v>206</v>
      </c>
      <c r="C14" s="342">
        <f>собіварт!C14</f>
        <v>0</v>
      </c>
      <c r="D14" s="346" t="s">
        <v>208</v>
      </c>
      <c r="E14" s="347" t="s">
        <v>208</v>
      </c>
      <c r="F14" s="347" t="s">
        <v>208</v>
      </c>
      <c r="G14" s="327" t="s">
        <v>208</v>
      </c>
      <c r="H14" s="327" t="s">
        <v>208</v>
      </c>
      <c r="I14" s="347" t="s">
        <v>208</v>
      </c>
      <c r="J14" s="327" t="s">
        <v>208</v>
      </c>
      <c r="K14" s="103">
        <f t="shared" si="0"/>
        <v>0</v>
      </c>
      <c r="L14" s="344">
        <f t="shared" si="1"/>
        <v>0</v>
      </c>
      <c r="M14" s="103">
        <f>IF($C$9+$C$15=0,0,C14*(M9+M15)/(($C$9+$C$15)-D9))</f>
        <v>0</v>
      </c>
      <c r="N14" s="344">
        <f t="shared" si="2"/>
        <v>0</v>
      </c>
      <c r="O14" s="103">
        <f>IF($C$9+$C$15=0,0,C14*(O9+O15)/(($C$9+$C$15)-D9))</f>
        <v>0</v>
      </c>
      <c r="P14" s="345">
        <f t="shared" si="3"/>
        <v>0</v>
      </c>
    </row>
    <row r="15" spans="1:16" ht="15">
      <c r="A15" s="105" t="s">
        <v>17</v>
      </c>
      <c r="B15" s="72" t="s">
        <v>207</v>
      </c>
      <c r="C15" s="342">
        <f>собіварт!C15</f>
        <v>7236.706778159999</v>
      </c>
      <c r="D15" s="346" t="s">
        <v>208</v>
      </c>
      <c r="E15" s="347" t="s">
        <v>208</v>
      </c>
      <c r="F15" s="347" t="s">
        <v>208</v>
      </c>
      <c r="G15" s="327" t="s">
        <v>208</v>
      </c>
      <c r="H15" s="327" t="s">
        <v>208</v>
      </c>
      <c r="I15" s="347" t="s">
        <v>208</v>
      </c>
      <c r="J15" s="327" t="s">
        <v>208</v>
      </c>
      <c r="K15" s="149">
        <f t="shared" si="0"/>
        <v>7236.706778159999</v>
      </c>
      <c r="L15" s="348">
        <f t="shared" si="1"/>
        <v>10.729999999999999</v>
      </c>
      <c r="M15" s="342">
        <f>собіварт!M15</f>
        <v>7236.706778159999</v>
      </c>
      <c r="N15" s="348">
        <f t="shared" si="2"/>
        <v>10.729999999999999</v>
      </c>
      <c r="O15" s="342">
        <f>собіварт!O15</f>
        <v>0</v>
      </c>
      <c r="P15" s="345">
        <f t="shared" si="3"/>
        <v>10.729999999999999</v>
      </c>
    </row>
    <row r="16" spans="1:16" ht="15">
      <c r="A16" s="105" t="s">
        <v>18</v>
      </c>
      <c r="B16" s="72" t="s">
        <v>209</v>
      </c>
      <c r="C16" s="342">
        <f>собіварт!C16</f>
        <v>152.76</v>
      </c>
      <c r="D16" s="343">
        <f aca="true" t="shared" si="4" ref="D16:D25">F16+I16</f>
        <v>73.74342499355609</v>
      </c>
      <c r="E16" s="344">
        <f aca="true" t="shared" si="5" ref="E16:E24">IF($D$34=0,0,D16/$D$34)</f>
        <v>0.11215013640734144</v>
      </c>
      <c r="F16" s="103">
        <f>IF($C$9+$C$15=0,0,C16*F9/($C$9+$C$15))</f>
        <v>20.623980904165023</v>
      </c>
      <c r="G16" s="344">
        <f aca="true" t="shared" si="6" ref="G16:G24">IF($F$34=0,0,F16/$F$34)</f>
        <v>0.11416730365942986</v>
      </c>
      <c r="H16" s="344">
        <f aca="true" t="shared" si="7" ref="H16:H24">IF($F$30=0,0,F16/$F$30)*1000</f>
        <v>0.6272881837144906</v>
      </c>
      <c r="I16" s="103">
        <f>IF($C$9+$C$15=0,0,C16*I9/($C$9+$C$15))</f>
        <v>53.11944408939106</v>
      </c>
      <c r="J16" s="344">
        <f aca="true" t="shared" si="8" ref="J16:J24">IF($I$34=0,0,I16/$I$34)</f>
        <v>0.11138603694605953</v>
      </c>
      <c r="K16" s="103">
        <f t="shared" si="0"/>
        <v>79.01657500644393</v>
      </c>
      <c r="L16" s="344">
        <f t="shared" si="1"/>
        <v>0.11715934827951073</v>
      </c>
      <c r="M16" s="103">
        <f>IF($C$9+$C$15=0,0,C16*(M9+M15)/($C$9+$C$15))</f>
        <v>79.01657500644393</v>
      </c>
      <c r="N16" s="344">
        <f t="shared" si="2"/>
        <v>0.11715934827951073</v>
      </c>
      <c r="O16" s="103">
        <f>IF($C$9+$C$15=0,0,C16*(O9+O15)/($C$9+$C$15))</f>
        <v>0</v>
      </c>
      <c r="P16" s="345">
        <f t="shared" si="3"/>
        <v>0.11715934827951073</v>
      </c>
    </row>
    <row r="17" spans="1:16" ht="15">
      <c r="A17" s="105" t="s">
        <v>25</v>
      </c>
      <c r="B17" s="72" t="s">
        <v>210</v>
      </c>
      <c r="C17" s="342">
        <f>собіварт!C17</f>
        <v>23673.07680694694</v>
      </c>
      <c r="D17" s="343">
        <f t="shared" si="4"/>
        <v>11427.950797851423</v>
      </c>
      <c r="E17" s="344">
        <f t="shared" si="5"/>
        <v>17.379803568215298</v>
      </c>
      <c r="F17" s="103">
        <f>F9+F10+F16</f>
        <v>3196.079366387179</v>
      </c>
      <c r="G17" s="344">
        <f t="shared" si="6"/>
        <v>17.692402123407415</v>
      </c>
      <c r="H17" s="344">
        <f t="shared" si="7"/>
        <v>97.21027332523813</v>
      </c>
      <c r="I17" s="103">
        <f>I9+I10+I16</f>
        <v>8231.871431464244</v>
      </c>
      <c r="J17" s="344">
        <f t="shared" si="8"/>
        <v>17.26139177694093</v>
      </c>
      <c r="K17" s="103">
        <f t="shared" si="0"/>
        <v>12245.126009095515</v>
      </c>
      <c r="L17" s="344">
        <f t="shared" si="1"/>
        <v>18.156076528362817</v>
      </c>
      <c r="M17" s="103">
        <f>M9+M10+M14+M16+M15</f>
        <v>12245.126009095515</v>
      </c>
      <c r="N17" s="344">
        <f t="shared" si="2"/>
        <v>18.156076528362817</v>
      </c>
      <c r="O17" s="103">
        <f>O9+O10+O14+O16+O15</f>
        <v>0</v>
      </c>
      <c r="P17" s="344">
        <f>P9+P10+P14+P16+P15</f>
        <v>17.59856427273535</v>
      </c>
    </row>
    <row r="18" spans="1:16" ht="15">
      <c r="A18" s="105" t="s">
        <v>32</v>
      </c>
      <c r="B18" s="72" t="s">
        <v>211</v>
      </c>
      <c r="C18" s="342">
        <f>собіварт!C18</f>
        <v>210.73826353510685</v>
      </c>
      <c r="D18" s="343">
        <f t="shared" si="4"/>
        <v>149.30003812162164</v>
      </c>
      <c r="E18" s="344">
        <f>IF($D$34=0,0,D18/$D$34)</f>
        <v>0.22705779725344033</v>
      </c>
      <c r="F18" s="103">
        <f>F19+F20</f>
        <v>41.75506</v>
      </c>
      <c r="G18" s="344">
        <f t="shared" si="6"/>
        <v>0.23114172945025382</v>
      </c>
      <c r="H18" s="344">
        <f t="shared" si="7"/>
        <v>1.27</v>
      </c>
      <c r="I18" s="103">
        <f>I19+I20</f>
        <v>107.54497812162163</v>
      </c>
      <c r="J18" s="344">
        <f t="shared" si="8"/>
        <v>0.2255108108108108</v>
      </c>
      <c r="K18" s="103">
        <f t="shared" si="0"/>
        <v>61.43822541348521</v>
      </c>
      <c r="L18" s="344">
        <f t="shared" si="1"/>
        <v>0.09109560175579096</v>
      </c>
      <c r="M18" s="103">
        <f>M19+M20</f>
        <v>61.43822541348521</v>
      </c>
      <c r="N18" s="344">
        <f t="shared" si="2"/>
        <v>0.09109560175579096</v>
      </c>
      <c r="O18" s="103">
        <f>O19+O20</f>
        <v>0</v>
      </c>
      <c r="P18" s="436">
        <f>P19+P20</f>
        <v>0.08350430160947506</v>
      </c>
    </row>
    <row r="19" spans="1:16" ht="15">
      <c r="A19" s="105" t="s">
        <v>48</v>
      </c>
      <c r="B19" s="72" t="s">
        <v>212</v>
      </c>
      <c r="C19" s="342">
        <f>собіварт!C19</f>
        <v>210.73826353510685</v>
      </c>
      <c r="D19" s="343">
        <f t="shared" si="4"/>
        <v>149.30003812162164</v>
      </c>
      <c r="E19" s="344">
        <f t="shared" si="5"/>
        <v>0.22705779725344033</v>
      </c>
      <c r="F19" s="342">
        <f>собіварт!F19</f>
        <v>41.75506</v>
      </c>
      <c r="G19" s="344">
        <f t="shared" si="6"/>
        <v>0.23114172945025382</v>
      </c>
      <c r="H19" s="344">
        <f t="shared" si="7"/>
        <v>1.27</v>
      </c>
      <c r="I19" s="342">
        <f>собіварт!I19</f>
        <v>107.54497812162163</v>
      </c>
      <c r="J19" s="344">
        <f t="shared" si="8"/>
        <v>0.2255108108108108</v>
      </c>
      <c r="K19" s="103">
        <f t="shared" si="0"/>
        <v>61.43822541348521</v>
      </c>
      <c r="L19" s="344">
        <f t="shared" si="1"/>
        <v>0.09109560175579096</v>
      </c>
      <c r="M19" s="342">
        <f>собіварт!M19</f>
        <v>61.43822541348521</v>
      </c>
      <c r="N19" s="344">
        <f t="shared" si="2"/>
        <v>0.09109560175579096</v>
      </c>
      <c r="O19" s="342">
        <f>собіварт!O19</f>
        <v>0</v>
      </c>
      <c r="P19" s="344">
        <f>IF($O$30=0,N19*1.1/1.2,O19/$O$35)</f>
        <v>0.08350430160947506</v>
      </c>
    </row>
    <row r="20" spans="1:16" ht="15">
      <c r="A20" s="105" t="s">
        <v>49</v>
      </c>
      <c r="B20" s="72" t="s">
        <v>213</v>
      </c>
      <c r="C20" s="342">
        <f>собіварт!C20</f>
        <v>0</v>
      </c>
      <c r="D20" s="343">
        <f t="shared" si="4"/>
        <v>0</v>
      </c>
      <c r="E20" s="344">
        <f t="shared" si="5"/>
        <v>0</v>
      </c>
      <c r="F20" s="103">
        <f>IF($C$9+$C$15=0,0,C20*F9/($C$9+$C$15))</f>
        <v>0</v>
      </c>
      <c r="G20" s="344">
        <f t="shared" si="6"/>
        <v>0</v>
      </c>
      <c r="H20" s="344">
        <f t="shared" si="7"/>
        <v>0</v>
      </c>
      <c r="I20" s="103">
        <f>IF($C$9+$C$15=0,0,C20*I9/($C$9+$C$15))</f>
        <v>0</v>
      </c>
      <c r="J20" s="344">
        <f t="shared" si="8"/>
        <v>0</v>
      </c>
      <c r="K20" s="103">
        <f t="shared" si="0"/>
        <v>0</v>
      </c>
      <c r="L20" s="344">
        <f t="shared" si="1"/>
        <v>0</v>
      </c>
      <c r="M20" s="103">
        <f>IF($C$9+$C$15=0,0,C20*(M9+M15)/($C$9+$C$15))</f>
        <v>0</v>
      </c>
      <c r="N20" s="344">
        <f t="shared" si="2"/>
        <v>0</v>
      </c>
      <c r="O20" s="103">
        <f>IF($C$9+$C$15=0,0,C20*(O9+O15)/($C$9+$C$15))</f>
        <v>0</v>
      </c>
      <c r="P20" s="345">
        <f>IF($O$30=0,N20,O20/$O$35)</f>
        <v>0</v>
      </c>
    </row>
    <row r="21" spans="1:16" ht="15">
      <c r="A21" s="105" t="s">
        <v>214</v>
      </c>
      <c r="B21" s="72" t="s">
        <v>215</v>
      </c>
      <c r="C21" s="342">
        <f>собіварт!C21</f>
        <v>0</v>
      </c>
      <c r="D21" s="343">
        <f t="shared" si="4"/>
        <v>0</v>
      </c>
      <c r="E21" s="344">
        <f t="shared" si="5"/>
        <v>0</v>
      </c>
      <c r="F21" s="103">
        <f>IF($C$9+$C$15=0,0,C21*F9/($C$9+$C$15))</f>
        <v>0</v>
      </c>
      <c r="G21" s="344">
        <f t="shared" si="6"/>
        <v>0</v>
      </c>
      <c r="H21" s="344">
        <f t="shared" si="7"/>
        <v>0</v>
      </c>
      <c r="I21" s="103">
        <f>IF($C$9+$C$15=0,0,C21*I9/($C$9+$C$15))</f>
        <v>0</v>
      </c>
      <c r="J21" s="344">
        <f t="shared" si="8"/>
        <v>0</v>
      </c>
      <c r="K21" s="103">
        <f t="shared" si="0"/>
        <v>0</v>
      </c>
      <c r="L21" s="344">
        <f t="shared" si="1"/>
        <v>0</v>
      </c>
      <c r="M21" s="103">
        <f>IF($C$9+$C$15=0,0,C21*(M9+M15)/($C$9+$C$15))</f>
        <v>0</v>
      </c>
      <c r="N21" s="344">
        <f t="shared" si="2"/>
        <v>0</v>
      </c>
      <c r="O21" s="103">
        <f>IF($C$9+$C$15=0,0,C21*(O9+O15)/($C$9+$C$15))</f>
        <v>0</v>
      </c>
      <c r="P21" s="345">
        <f t="shared" si="3"/>
        <v>0</v>
      </c>
    </row>
    <row r="22" spans="1:16" ht="15">
      <c r="A22" s="105" t="s">
        <v>216</v>
      </c>
      <c r="B22" s="72" t="s">
        <v>217</v>
      </c>
      <c r="C22" s="342">
        <f>собіварт!C22</f>
        <v>0</v>
      </c>
      <c r="D22" s="343">
        <f t="shared" si="4"/>
        <v>0</v>
      </c>
      <c r="E22" s="344">
        <f t="shared" si="5"/>
        <v>0</v>
      </c>
      <c r="F22" s="103">
        <f>IF($C$9+$C$15=0,0,C22*F9/($C$9+$C$15))</f>
        <v>0</v>
      </c>
      <c r="G22" s="344">
        <f t="shared" si="6"/>
        <v>0</v>
      </c>
      <c r="H22" s="344">
        <f t="shared" si="7"/>
        <v>0</v>
      </c>
      <c r="I22" s="103">
        <f>IF($C$9+$C$15=0,0,C22*I9/($C$9+$C$15))</f>
        <v>0</v>
      </c>
      <c r="J22" s="344">
        <f t="shared" si="8"/>
        <v>0</v>
      </c>
      <c r="K22" s="103">
        <f t="shared" si="0"/>
        <v>0</v>
      </c>
      <c r="L22" s="344">
        <f t="shared" si="1"/>
        <v>0</v>
      </c>
      <c r="M22" s="103">
        <f>IF($C$9+$C$15=0,0,C22*(M9+M15)/($C$9+$C$15))</f>
        <v>0</v>
      </c>
      <c r="N22" s="344">
        <f t="shared" si="2"/>
        <v>0</v>
      </c>
      <c r="O22" s="103">
        <f>IF($C$9+$C$15=0,0,C22*(O9+O15)/($C$9+$C$15))</f>
        <v>0</v>
      </c>
      <c r="P22" s="345">
        <f t="shared" si="3"/>
        <v>0</v>
      </c>
    </row>
    <row r="23" spans="1:16" ht="15">
      <c r="A23" s="105" t="s">
        <v>33</v>
      </c>
      <c r="B23" s="72" t="s">
        <v>218</v>
      </c>
      <c r="C23" s="342">
        <f>собіварт!C23</f>
        <v>59.85918564030588</v>
      </c>
      <c r="D23" s="343">
        <f t="shared" si="4"/>
        <v>29.01566625557154</v>
      </c>
      <c r="E23" s="344">
        <f t="shared" si="5"/>
        <v>0.04412747209390661</v>
      </c>
      <c r="F23" s="103">
        <f>IF(F17=0,0,((F17+F18)*F46/100)/(1-F46/100))</f>
        <v>8.114873249090673</v>
      </c>
      <c r="G23" s="344">
        <f t="shared" si="6"/>
        <v>0.044921162538490385</v>
      </c>
      <c r="H23" s="344">
        <f t="shared" si="7"/>
        <v>0.2468177276321757</v>
      </c>
      <c r="I23" s="103">
        <f>IF(I17=0,0,((I17+I18)*I46/100)/(1-I46/100))</f>
        <v>20.900793006480864</v>
      </c>
      <c r="J23" s="344">
        <f t="shared" si="8"/>
        <v>0.043826823528199846</v>
      </c>
      <c r="K23" s="103">
        <f t="shared" si="0"/>
        <v>30.843519384734332</v>
      </c>
      <c r="L23" s="344">
        <f t="shared" si="1"/>
        <v>0.045732260977740864</v>
      </c>
      <c r="M23" s="103">
        <f>IF(M17=0,0,((M17+M18)*M46/100)/(1-M46/100))</f>
        <v>30.843519384734332</v>
      </c>
      <c r="N23" s="344">
        <f t="shared" si="2"/>
        <v>0.045732260977740864</v>
      </c>
      <c r="O23" s="103">
        <f>IF(O17=0,0,((O17+O18)*O46/100)/(1-O46/100))</f>
        <v>0</v>
      </c>
      <c r="P23" s="344">
        <f>IF(P17=0,0,((P17+P18)*O46/100)/(1-O46/100))</f>
        <v>0.044315961339210085</v>
      </c>
    </row>
    <row r="24" spans="1:16" ht="15">
      <c r="A24" s="110" t="s">
        <v>34</v>
      </c>
      <c r="B24" s="72" t="s">
        <v>259</v>
      </c>
      <c r="C24" s="342">
        <f>собіварт!C24</f>
        <v>23732.935992587245</v>
      </c>
      <c r="D24" s="343">
        <f t="shared" si="4"/>
        <v>11456.966464106996</v>
      </c>
      <c r="E24" s="344">
        <f t="shared" si="5"/>
        <v>17.423931040309206</v>
      </c>
      <c r="F24" s="103">
        <f>F23+F17</f>
        <v>3204.1942396362697</v>
      </c>
      <c r="G24" s="344">
        <f t="shared" si="6"/>
        <v>17.737323285945905</v>
      </c>
      <c r="H24" s="344">
        <f t="shared" si="7"/>
        <v>97.4570910528703</v>
      </c>
      <c r="I24" s="103">
        <f>I23+I17</f>
        <v>8252.772224470726</v>
      </c>
      <c r="J24" s="344">
        <f t="shared" si="8"/>
        <v>17.305218600469132</v>
      </c>
      <c r="K24" s="103">
        <f t="shared" si="0"/>
        <v>12275.96952848025</v>
      </c>
      <c r="L24" s="344">
        <f t="shared" si="1"/>
        <v>18.201808789340557</v>
      </c>
      <c r="M24" s="103">
        <f>M23+M17</f>
        <v>12275.96952848025</v>
      </c>
      <c r="N24" s="344">
        <f t="shared" si="2"/>
        <v>18.201808789340557</v>
      </c>
      <c r="O24" s="103">
        <f>O23+O17</f>
        <v>0</v>
      </c>
      <c r="P24" s="345">
        <f>IF($O$30=0,P23+P17,O24/$O$35)</f>
        <v>17.642880234074557</v>
      </c>
    </row>
    <row r="25" spans="1:16" ht="15">
      <c r="A25" s="105" t="s">
        <v>219</v>
      </c>
      <c r="B25" s="72" t="s">
        <v>220</v>
      </c>
      <c r="C25" s="342">
        <f>собіварт!C25</f>
        <v>23943.67425612235</v>
      </c>
      <c r="D25" s="343">
        <f t="shared" si="4"/>
        <v>11606.266502228616</v>
      </c>
      <c r="E25" s="327" t="s">
        <v>208</v>
      </c>
      <c r="F25" s="103">
        <f>F24+F18</f>
        <v>3245.9492996362696</v>
      </c>
      <c r="G25" s="327" t="s">
        <v>208</v>
      </c>
      <c r="H25" s="327" t="s">
        <v>208</v>
      </c>
      <c r="I25" s="149">
        <f>I24+I18</f>
        <v>8360.317202592347</v>
      </c>
      <c r="J25" s="327" t="s">
        <v>208</v>
      </c>
      <c r="K25" s="149">
        <f>M25+O25</f>
        <v>12337.407753893734</v>
      </c>
      <c r="L25" s="327" t="s">
        <v>208</v>
      </c>
      <c r="M25" s="149">
        <f>M24+M18</f>
        <v>12337.407753893734</v>
      </c>
      <c r="N25" s="327" t="s">
        <v>208</v>
      </c>
      <c r="O25" s="149">
        <f>O24+O18</f>
        <v>0</v>
      </c>
      <c r="P25" s="328" t="s">
        <v>208</v>
      </c>
    </row>
    <row r="26" spans="1:16" ht="15">
      <c r="A26" s="105" t="s">
        <v>221</v>
      </c>
      <c r="B26" s="72" t="s">
        <v>246</v>
      </c>
      <c r="C26" s="346" t="str">
        <f>собіварт!C26</f>
        <v>x</v>
      </c>
      <c r="D26" s="327" t="s">
        <v>208</v>
      </c>
      <c r="E26" s="348">
        <f>IF($D$34=0,0,$D$25/$D$34)</f>
        <v>17.650988837562647</v>
      </c>
      <c r="F26" s="157" t="s">
        <v>208</v>
      </c>
      <c r="G26" s="348">
        <f>IF($F$34=0,0,$F$25/$F$34)</f>
        <v>17.96846501539616</v>
      </c>
      <c r="H26" s="344">
        <f>IF($F$30=0,0,F25/$F$30)*1000</f>
        <v>98.72709105287029</v>
      </c>
      <c r="I26" s="157" t="s">
        <v>208</v>
      </c>
      <c r="J26" s="348">
        <f>IF($I$34=0,0,$I$25/$I$34)</f>
        <v>17.53072941127994</v>
      </c>
      <c r="K26" s="327" t="s">
        <v>208</v>
      </c>
      <c r="L26" s="348">
        <f>IF($K$35=0,0,K25/$K$35)</f>
        <v>18.29290439109635</v>
      </c>
      <c r="M26" s="327" t="s">
        <v>208</v>
      </c>
      <c r="N26" s="348">
        <f>IF($M$35=0,0,M25/$M$35)</f>
        <v>18.29290439109635</v>
      </c>
      <c r="O26" s="327" t="s">
        <v>208</v>
      </c>
      <c r="P26" s="349">
        <f>IF($O$30=0,P24+P18,O25/$O$35)</f>
        <v>17.726384535684033</v>
      </c>
    </row>
    <row r="27" spans="1:16" s="104" customFormat="1" ht="15">
      <c r="A27" s="105" t="s">
        <v>243</v>
      </c>
      <c r="B27" s="72" t="s">
        <v>245</v>
      </c>
      <c r="C27" s="346" t="str">
        <f>собіварт!C27</f>
        <v>x</v>
      </c>
      <c r="D27" s="350">
        <f>D9+D19</f>
        <v>11114.035908675676</v>
      </c>
      <c r="E27" s="351">
        <f>IF(D34=0,0,D27/D34)</f>
        <v>16.90239697034665</v>
      </c>
      <c r="F27" s="350">
        <f>F9+F19</f>
        <v>3108.28612</v>
      </c>
      <c r="G27" s="351">
        <f>IF(F34=0,0,F27/F34)</f>
        <v>17.206408741911023</v>
      </c>
      <c r="H27" s="344">
        <f>IF($F$30=0,0,F27/$F$30)*1000</f>
        <v>94.54</v>
      </c>
      <c r="I27" s="350">
        <f>I9+I19</f>
        <v>8005.7497886756755</v>
      </c>
      <c r="J27" s="351">
        <f>IF(I34=0,0,I27/I34)</f>
        <v>16.78723783783784</v>
      </c>
      <c r="K27" s="327" t="s">
        <v>208</v>
      </c>
      <c r="L27" s="327" t="s">
        <v>208</v>
      </c>
      <c r="M27" s="327" t="s">
        <v>208</v>
      </c>
      <c r="N27" s="327" t="s">
        <v>208</v>
      </c>
      <c r="O27" s="327" t="s">
        <v>208</v>
      </c>
      <c r="P27" s="328" t="s">
        <v>208</v>
      </c>
    </row>
    <row r="28" spans="1:16" s="104" customFormat="1" ht="15.75" thickBot="1">
      <c r="A28" s="107" t="s">
        <v>244</v>
      </c>
      <c r="B28" s="127" t="s">
        <v>258</v>
      </c>
      <c r="C28" s="352" t="str">
        <f>собіварт!C28</f>
        <v>x</v>
      </c>
      <c r="D28" s="353">
        <f>D25-D27</f>
        <v>492.23059355294026</v>
      </c>
      <c r="E28" s="354">
        <f>IF(D34=0,0,D28/D34)</f>
        <v>0.7485918672159958</v>
      </c>
      <c r="F28" s="353">
        <f>F25-F27</f>
        <v>137.66317963626943</v>
      </c>
      <c r="G28" s="354">
        <f>IF(F34=0,0,F28/F34)</f>
        <v>0.7620562734851364</v>
      </c>
      <c r="H28" s="344">
        <f>IF($F$30=0,0,F28/$F$30)*1000</f>
        <v>4.187091052870291</v>
      </c>
      <c r="I28" s="353">
        <f>I25-I27</f>
        <v>354.5674139166713</v>
      </c>
      <c r="J28" s="354">
        <f>IF(I34=0,0,I28/I34)</f>
        <v>0.7434915734421021</v>
      </c>
      <c r="K28" s="335" t="s">
        <v>208</v>
      </c>
      <c r="L28" s="335" t="s">
        <v>208</v>
      </c>
      <c r="M28" s="335" t="s">
        <v>208</v>
      </c>
      <c r="N28" s="335" t="s">
        <v>208</v>
      </c>
      <c r="O28" s="335" t="s">
        <v>208</v>
      </c>
      <c r="P28" s="355" t="s">
        <v>208</v>
      </c>
    </row>
    <row r="29" spans="1:16" ht="15.75" thickBot="1">
      <c r="A29" s="597" t="s">
        <v>248</v>
      </c>
      <c r="B29" s="598"/>
      <c r="C29" s="598"/>
      <c r="D29" s="598"/>
      <c r="E29" s="598"/>
      <c r="F29" s="598"/>
      <c r="G29" s="598"/>
      <c r="H29" s="598"/>
      <c r="I29" s="598"/>
      <c r="J29" s="598"/>
      <c r="K29" s="598"/>
      <c r="L29" s="598"/>
      <c r="M29" s="598"/>
      <c r="N29" s="598"/>
      <c r="O29" s="598"/>
      <c r="P29" s="599"/>
    </row>
    <row r="30" spans="1:18" ht="15">
      <c r="A30" s="363" t="s">
        <v>8</v>
      </c>
      <c r="B30" s="364" t="s">
        <v>223</v>
      </c>
      <c r="C30" s="365">
        <f>собіварт!C30</f>
        <v>165935.64057882427</v>
      </c>
      <c r="D30" s="366">
        <f>F30+I30</f>
        <v>117559.08513513513</v>
      </c>
      <c r="E30" s="367" t="str">
        <f>собіварт!E30</f>
        <v>x</v>
      </c>
      <c r="F30" s="365">
        <f>собіварт!F30</f>
        <v>32878</v>
      </c>
      <c r="G30" s="367" t="str">
        <f>собіварт!G30</f>
        <v>x</v>
      </c>
      <c r="H30" s="367" t="str">
        <f>собіварт!H30</f>
        <v>x</v>
      </c>
      <c r="I30" s="365">
        <f>собіварт!I30</f>
        <v>84681.08513513513</v>
      </c>
      <c r="J30" s="367" t="str">
        <f>собіварт!J30</f>
        <v>x</v>
      </c>
      <c r="K30" s="368">
        <f>M30+O30</f>
        <v>48376.55544368914</v>
      </c>
      <c r="L30" s="367" t="str">
        <f>собіварт!L30</f>
        <v>x</v>
      </c>
      <c r="M30" s="365">
        <f>собіварт!M30</f>
        <v>48376.55544368914</v>
      </c>
      <c r="N30" s="367" t="str">
        <f>собіварт!N30</f>
        <v>x</v>
      </c>
      <c r="O30" s="365">
        <f>собіварт!O30</f>
        <v>0</v>
      </c>
      <c r="P30" s="369" t="str">
        <f>собіварт!P30</f>
        <v>x</v>
      </c>
      <c r="Q30" s="200">
        <f>(C30-R30)/C30*100</f>
        <v>-17.99334327274472</v>
      </c>
      <c r="R30" s="200">
        <f>'Структура послуги аналіз'!S49</f>
        <v>195793.01</v>
      </c>
    </row>
    <row r="31" spans="1:16" ht="15">
      <c r="A31" s="105" t="s">
        <v>9</v>
      </c>
      <c r="B31" s="72" t="s">
        <v>240</v>
      </c>
      <c r="C31" s="322">
        <f>собіварт!C31</f>
        <v>94.53999999999999</v>
      </c>
      <c r="D31" s="88" t="s">
        <v>208</v>
      </c>
      <c r="E31" s="323" t="str">
        <f>собіварт!E31</f>
        <v>x</v>
      </c>
      <c r="F31" s="323" t="str">
        <f>собіварт!F31</f>
        <v>x</v>
      </c>
      <c r="G31" s="323" t="str">
        <f>собіварт!G31</f>
        <v>x</v>
      </c>
      <c r="H31" s="323" t="str">
        <f>собіварт!H31</f>
        <v>x</v>
      </c>
      <c r="I31" s="323" t="str">
        <f>собіварт!I31</f>
        <v>x</v>
      </c>
      <c r="J31" s="323" t="str">
        <f>собіварт!J31</f>
        <v>x</v>
      </c>
      <c r="K31" s="88" t="s">
        <v>208</v>
      </c>
      <c r="L31" s="323" t="str">
        <f>собіварт!L31</f>
        <v>x</v>
      </c>
      <c r="M31" s="323" t="str">
        <f>собіварт!M31</f>
        <v>x</v>
      </c>
      <c r="N31" s="323" t="str">
        <f>собіварт!N31</f>
        <v>x</v>
      </c>
      <c r="O31" s="323" t="str">
        <f>собіварт!O31</f>
        <v>x</v>
      </c>
      <c r="P31" s="324" t="str">
        <f>собіварт!P31</f>
        <v>x</v>
      </c>
    </row>
    <row r="32" spans="1:16" ht="17.25" customHeight="1">
      <c r="A32" s="105" t="s">
        <v>200</v>
      </c>
      <c r="B32" s="72" t="s">
        <v>225</v>
      </c>
      <c r="C32" s="322">
        <f>собіварт!C32</f>
        <v>93.27</v>
      </c>
      <c r="D32" s="88" t="s">
        <v>208</v>
      </c>
      <c r="E32" s="323" t="str">
        <f>собіварт!E32</f>
        <v>x</v>
      </c>
      <c r="F32" s="323" t="str">
        <f>собіварт!F32</f>
        <v>x</v>
      </c>
      <c r="G32" s="323" t="str">
        <f>собіварт!G32</f>
        <v>x</v>
      </c>
      <c r="H32" s="323" t="str">
        <f>собіварт!H32</f>
        <v>x</v>
      </c>
      <c r="I32" s="323" t="str">
        <f>собіварт!I32</f>
        <v>x</v>
      </c>
      <c r="J32" s="323" t="str">
        <f>собіварт!J32</f>
        <v>x</v>
      </c>
      <c r="K32" s="88" t="s">
        <v>208</v>
      </c>
      <c r="L32" s="323" t="str">
        <f>собіварт!L32</f>
        <v>x</v>
      </c>
      <c r="M32" s="323" t="str">
        <f>собіварт!M32</f>
        <v>x</v>
      </c>
      <c r="N32" s="323" t="str">
        <f>собіварт!N32</f>
        <v>x</v>
      </c>
      <c r="O32" s="323" t="str">
        <f>собіварт!O32</f>
        <v>x</v>
      </c>
      <c r="P32" s="324" t="str">
        <f>собіварт!P32</f>
        <v>x</v>
      </c>
    </row>
    <row r="33" spans="1:16" ht="15" customHeight="1">
      <c r="A33" s="105" t="s">
        <v>202</v>
      </c>
      <c r="B33" s="72" t="s">
        <v>226</v>
      </c>
      <c r="C33" s="322">
        <f>собіварт!C33</f>
        <v>1.27</v>
      </c>
      <c r="D33" s="88" t="s">
        <v>208</v>
      </c>
      <c r="E33" s="323" t="str">
        <f>собіварт!E33</f>
        <v>x</v>
      </c>
      <c r="F33" s="323" t="str">
        <f>собіварт!F33</f>
        <v>x</v>
      </c>
      <c r="G33" s="323" t="str">
        <f>собіварт!G33</f>
        <v>x</v>
      </c>
      <c r="H33" s="323" t="str">
        <f>собіварт!H33</f>
        <v>x</v>
      </c>
      <c r="I33" s="323" t="str">
        <f>собіварт!I33</f>
        <v>x</v>
      </c>
      <c r="J33" s="323" t="str">
        <f>собіварт!J33</f>
        <v>x</v>
      </c>
      <c r="K33" s="88" t="s">
        <v>208</v>
      </c>
      <c r="L33" s="323" t="str">
        <f>собіварт!L33</f>
        <v>x</v>
      </c>
      <c r="M33" s="323" t="str">
        <f>собіварт!M33</f>
        <v>x</v>
      </c>
      <c r="N33" s="323" t="str">
        <f>собіварт!N33</f>
        <v>x</v>
      </c>
      <c r="O33" s="323" t="str">
        <f>собіварт!O33</f>
        <v>x</v>
      </c>
      <c r="P33" s="324" t="str">
        <f>собіварт!P33</f>
        <v>x</v>
      </c>
    </row>
    <row r="34" spans="1:16" ht="15">
      <c r="A34" s="110" t="s">
        <v>13</v>
      </c>
      <c r="B34" s="72" t="s">
        <v>242</v>
      </c>
      <c r="C34" s="323" t="str">
        <f>собіварт!C34</f>
        <v>x</v>
      </c>
      <c r="D34" s="90">
        <f>F34+I34</f>
        <v>657.5419999999999</v>
      </c>
      <c r="E34" s="323" t="str">
        <f>собіварт!E34</f>
        <v>x</v>
      </c>
      <c r="F34" s="325">
        <f>собіварт!F34</f>
        <v>180.647</v>
      </c>
      <c r="G34" s="323" t="str">
        <f>собіварт!G34</f>
        <v>x</v>
      </c>
      <c r="H34" s="323" t="str">
        <f>собіварт!H34</f>
        <v>x</v>
      </c>
      <c r="I34" s="325">
        <f>собіварт!I34</f>
        <v>476.895</v>
      </c>
      <c r="J34" s="323" t="str">
        <f>собіварт!J34</f>
        <v>x</v>
      </c>
      <c r="K34" s="88" t="s">
        <v>208</v>
      </c>
      <c r="L34" s="323" t="str">
        <f>собіварт!L34</f>
        <v>x</v>
      </c>
      <c r="M34" s="323" t="str">
        <f>собіварт!M34</f>
        <v>x</v>
      </c>
      <c r="N34" s="323" t="str">
        <f>собіварт!N34</f>
        <v>x</v>
      </c>
      <c r="O34" s="323" t="str">
        <f>собіварт!O34</f>
        <v>x</v>
      </c>
      <c r="P34" s="324" t="str">
        <f>собіварт!P34</f>
        <v>x</v>
      </c>
    </row>
    <row r="35" spans="1:16" ht="15">
      <c r="A35" s="110" t="s">
        <v>17</v>
      </c>
      <c r="B35" s="72" t="s">
        <v>241</v>
      </c>
      <c r="C35" s="323" t="str">
        <f>собіварт!C35</f>
        <v>x</v>
      </c>
      <c r="D35" s="88" t="s">
        <v>208</v>
      </c>
      <c r="E35" s="323" t="str">
        <f>собіварт!E35</f>
        <v>x</v>
      </c>
      <c r="F35" s="323" t="str">
        <f>собіварт!F35</f>
        <v>x</v>
      </c>
      <c r="G35" s="323" t="str">
        <f>собіварт!G35</f>
        <v>x</v>
      </c>
      <c r="H35" s="323" t="str">
        <f>собіварт!H35</f>
        <v>x</v>
      </c>
      <c r="I35" s="323" t="str">
        <f>собіварт!I35</f>
        <v>x</v>
      </c>
      <c r="J35" s="323" t="str">
        <f>собіварт!J35</f>
        <v>x</v>
      </c>
      <c r="K35" s="93">
        <f aca="true" t="shared" si="9" ref="K35:K42">M35+O35</f>
        <v>674.436792</v>
      </c>
      <c r="L35" s="323" t="str">
        <f>собіварт!L35</f>
        <v>x</v>
      </c>
      <c r="M35" s="325">
        <f>собіварт!M35</f>
        <v>674.436792</v>
      </c>
      <c r="N35" s="323" t="str">
        <f>собіварт!N35</f>
        <v>x</v>
      </c>
      <c r="O35" s="325">
        <f>собіварт!O35</f>
        <v>0</v>
      </c>
      <c r="P35" s="324" t="str">
        <f>собіварт!P35</f>
        <v>x</v>
      </c>
    </row>
    <row r="36" spans="1:16" ht="15">
      <c r="A36" s="105" t="s">
        <v>18</v>
      </c>
      <c r="B36" s="72" t="s">
        <v>228</v>
      </c>
      <c r="C36" s="325">
        <f>собіварт!C36</f>
        <v>26788</v>
      </c>
      <c r="D36" s="92">
        <f aca="true" t="shared" si="10" ref="D36:D42">F36+I36</f>
        <v>13044</v>
      </c>
      <c r="E36" s="323" t="str">
        <f>собіварт!E36</f>
        <v>x</v>
      </c>
      <c r="F36" s="325">
        <f>собіварт!F36</f>
        <v>3693</v>
      </c>
      <c r="G36" s="323" t="str">
        <f>собіварт!G36</f>
        <v>x</v>
      </c>
      <c r="H36" s="323" t="str">
        <f>собіварт!H36</f>
        <v>x</v>
      </c>
      <c r="I36" s="325">
        <f>собіварт!I36</f>
        <v>9351</v>
      </c>
      <c r="J36" s="323" t="str">
        <f>собіварт!J36</f>
        <v>x</v>
      </c>
      <c r="K36" s="92">
        <f t="shared" si="9"/>
        <v>13744</v>
      </c>
      <c r="L36" s="323" t="str">
        <f>собіварт!L36</f>
        <v>x</v>
      </c>
      <c r="M36" s="325">
        <f>собіварт!M36</f>
        <v>13744</v>
      </c>
      <c r="N36" s="323" t="str">
        <f>собіварт!N36</f>
        <v>x</v>
      </c>
      <c r="O36" s="325">
        <f>собіварт!O36</f>
        <v>0</v>
      </c>
      <c r="P36" s="324" t="str">
        <f>собіварт!P36</f>
        <v>x</v>
      </c>
    </row>
    <row r="37" spans="1:16" ht="15">
      <c r="A37" s="105" t="s">
        <v>25</v>
      </c>
      <c r="B37" s="72" t="s">
        <v>260</v>
      </c>
      <c r="C37" s="325">
        <f>собіварт!C37</f>
        <v>9</v>
      </c>
      <c r="D37" s="362">
        <f t="shared" si="10"/>
        <v>4.344663687758606</v>
      </c>
      <c r="E37" s="382" t="str">
        <f>собіварт!E37</f>
        <v>x</v>
      </c>
      <c r="F37" s="326">
        <f>F38+F39</f>
        <v>1.2150813572760226</v>
      </c>
      <c r="G37" s="382" t="s">
        <v>208</v>
      </c>
      <c r="H37" s="382" t="s">
        <v>208</v>
      </c>
      <c r="I37" s="326">
        <f>I38+I39</f>
        <v>3.129582330482584</v>
      </c>
      <c r="J37" s="382" t="s">
        <v>208</v>
      </c>
      <c r="K37" s="362">
        <f t="shared" si="9"/>
        <v>4.655336312241394</v>
      </c>
      <c r="L37" s="382" t="s">
        <v>208</v>
      </c>
      <c r="M37" s="326">
        <f>M38+M39</f>
        <v>4.655336312241394</v>
      </c>
      <c r="N37" s="382" t="s">
        <v>208</v>
      </c>
      <c r="O37" s="326">
        <f>O38+O39</f>
        <v>0</v>
      </c>
      <c r="P37" s="328" t="s">
        <v>208</v>
      </c>
    </row>
    <row r="38" spans="1:16" ht="15">
      <c r="A38" s="105" t="s">
        <v>249</v>
      </c>
      <c r="B38" s="72" t="s">
        <v>229</v>
      </c>
      <c r="C38" s="325">
        <f>собіварт!C38</f>
        <v>9</v>
      </c>
      <c r="D38" s="362">
        <f t="shared" si="10"/>
        <v>4.344663687758606</v>
      </c>
      <c r="E38" s="382" t="str">
        <f>собіварт!E38</f>
        <v>x</v>
      </c>
      <c r="F38" s="326">
        <f>IF($C$9+$C$15=0,0,C38*F9/($C$9+$C$15))</f>
        <v>1.2150813572760226</v>
      </c>
      <c r="G38" s="382" t="s">
        <v>208</v>
      </c>
      <c r="H38" s="382" t="s">
        <v>208</v>
      </c>
      <c r="I38" s="326">
        <f>IF($C$9+$C$15=0,0,C38*I9/($C$9+$C$15))</f>
        <v>3.129582330482584</v>
      </c>
      <c r="J38" s="382" t="s">
        <v>208</v>
      </c>
      <c r="K38" s="362">
        <f t="shared" si="9"/>
        <v>4.655336312241394</v>
      </c>
      <c r="L38" s="382" t="s">
        <v>208</v>
      </c>
      <c r="M38" s="326">
        <f>IF($C$9+$C$15=0,0,C38*($M$9+$M$15)/($C$9+$C$15))</f>
        <v>4.655336312241394</v>
      </c>
      <c r="N38" s="382" t="s">
        <v>208</v>
      </c>
      <c r="O38" s="326">
        <f>IF($C$9+$C$15=0,0,C38*($O$9+$O$15)/($C$9+$C$15))</f>
        <v>0</v>
      </c>
      <c r="P38" s="328" t="s">
        <v>208</v>
      </c>
    </row>
    <row r="39" spans="1:16" ht="15">
      <c r="A39" s="105" t="s">
        <v>250</v>
      </c>
      <c r="B39" s="72" t="s">
        <v>230</v>
      </c>
      <c r="C39" s="325">
        <f>собіварт!C39</f>
        <v>0</v>
      </c>
      <c r="D39" s="92">
        <f t="shared" si="10"/>
        <v>0</v>
      </c>
      <c r="E39" s="323" t="str">
        <f>собіварт!E39</f>
        <v>x</v>
      </c>
      <c r="F39" s="326">
        <f>IF($C$9+$C$15=0,0,C39*$F$9/($C$9+$C$15))</f>
        <v>0</v>
      </c>
      <c r="G39" s="327" t="s">
        <v>208</v>
      </c>
      <c r="H39" s="327" t="s">
        <v>208</v>
      </c>
      <c r="I39" s="326">
        <f>IF($C$9+$C$15=0,0,C39*I10/($C$9+$C$15))</f>
        <v>0</v>
      </c>
      <c r="J39" s="327" t="s">
        <v>208</v>
      </c>
      <c r="K39" s="92">
        <f t="shared" si="9"/>
        <v>0</v>
      </c>
      <c r="L39" s="327" t="s">
        <v>208</v>
      </c>
      <c r="M39" s="326">
        <f>IF($C$9+$C$15=0,0,C39*($M$9+$M$15)/($C$9+$C$15))</f>
        <v>0</v>
      </c>
      <c r="N39" s="327" t="s">
        <v>208</v>
      </c>
      <c r="O39" s="326">
        <f>IF($C$9+$C$15=0,0,C39*($O$9+$O$15)/($C$9+$C$15))</f>
        <v>0</v>
      </c>
      <c r="P39" s="328" t="s">
        <v>208</v>
      </c>
    </row>
    <row r="40" spans="1:16" ht="30" customHeight="1">
      <c r="A40" s="105" t="s">
        <v>32</v>
      </c>
      <c r="B40" s="72" t="s">
        <v>231</v>
      </c>
      <c r="C40" s="325">
        <f>собіварт!C40</f>
        <v>0</v>
      </c>
      <c r="D40" s="92">
        <f t="shared" si="10"/>
        <v>0</v>
      </c>
      <c r="E40" s="323" t="str">
        <f>собіварт!E40</f>
        <v>x</v>
      </c>
      <c r="F40" s="326">
        <f>IF($C$9+$C$15=0,0,C40*$F$9/($C$9+$C$15))</f>
        <v>0</v>
      </c>
      <c r="G40" s="327" t="s">
        <v>208</v>
      </c>
      <c r="H40" s="327" t="s">
        <v>208</v>
      </c>
      <c r="I40" s="326">
        <f>IF($C$9+$C$15=0,0,C40*I11/($C$9+$C$15))</f>
        <v>0</v>
      </c>
      <c r="J40" s="327" t="s">
        <v>208</v>
      </c>
      <c r="K40" s="92">
        <f t="shared" si="9"/>
        <v>0</v>
      </c>
      <c r="L40" s="327" t="s">
        <v>208</v>
      </c>
      <c r="M40" s="326">
        <f>IF($C$9+$C$15=0,0,C40*($M$9+$M$15)/($C$9+$C$15))</f>
        <v>0</v>
      </c>
      <c r="N40" s="327" t="s">
        <v>208</v>
      </c>
      <c r="O40" s="326">
        <f>IF($C$9+$C$15=0,0,C40*($O$9+$O$15)/($C$9+$C$15))</f>
        <v>0</v>
      </c>
      <c r="P40" s="328" t="s">
        <v>208</v>
      </c>
    </row>
    <row r="41" spans="1:16" ht="15">
      <c r="A41" s="105" t="s">
        <v>48</v>
      </c>
      <c r="B41" s="72" t="s">
        <v>229</v>
      </c>
      <c r="C41" s="325">
        <f>собіварт!C41</f>
        <v>0</v>
      </c>
      <c r="D41" s="92">
        <f t="shared" si="10"/>
        <v>0</v>
      </c>
      <c r="E41" s="323" t="str">
        <f>собіварт!E41</f>
        <v>x</v>
      </c>
      <c r="F41" s="326">
        <f>IF($C$9+$C$15=0,0,C41*$F$9/($C$9+$C$15))</f>
        <v>0</v>
      </c>
      <c r="G41" s="327" t="s">
        <v>208</v>
      </c>
      <c r="H41" s="327" t="s">
        <v>208</v>
      </c>
      <c r="I41" s="326">
        <f>IF($C$9+$C$15=0,0,C41*I12/($C$9+$C$15))</f>
        <v>0</v>
      </c>
      <c r="J41" s="327" t="s">
        <v>208</v>
      </c>
      <c r="K41" s="92">
        <f t="shared" si="9"/>
        <v>0</v>
      </c>
      <c r="L41" s="327" t="s">
        <v>208</v>
      </c>
      <c r="M41" s="326">
        <f>IF($C$9+$C$15=0,0,C41*($M$9+$M$15)/($C$9+$C$15))</f>
        <v>0</v>
      </c>
      <c r="N41" s="327" t="s">
        <v>208</v>
      </c>
      <c r="O41" s="326">
        <f>IF($C$9+$C$15=0,0,C41*($O$9+$O$15)/($C$9+$C$15))</f>
        <v>0</v>
      </c>
      <c r="P41" s="328" t="s">
        <v>208</v>
      </c>
    </row>
    <row r="42" spans="1:17" ht="15">
      <c r="A42" s="105" t="s">
        <v>49</v>
      </c>
      <c r="B42" s="72" t="s">
        <v>230</v>
      </c>
      <c r="C42" s="325">
        <f>собіварт!C42</f>
        <v>0</v>
      </c>
      <c r="D42" s="92">
        <f t="shared" si="10"/>
        <v>0</v>
      </c>
      <c r="E42" s="323" t="str">
        <f>собіварт!E42</f>
        <v>x</v>
      </c>
      <c r="F42" s="326">
        <f>IF($C$9+$C$15=0,0,C42*$F$9/($C$9+$C$15))</f>
        <v>0</v>
      </c>
      <c r="G42" s="327" t="s">
        <v>208</v>
      </c>
      <c r="H42" s="327" t="s">
        <v>208</v>
      </c>
      <c r="I42" s="326">
        <f>IF($C$9+$C$15=0,0,C42*I13/($C$9+$C$15))</f>
        <v>0</v>
      </c>
      <c r="J42" s="327" t="s">
        <v>208</v>
      </c>
      <c r="K42" s="92">
        <f t="shared" si="9"/>
        <v>0</v>
      </c>
      <c r="L42" s="327" t="s">
        <v>208</v>
      </c>
      <c r="M42" s="326">
        <f>IF($C$9+$C$15=0,0,C42*($M$9+$M$15)/($C$9+$C$15))</f>
        <v>0</v>
      </c>
      <c r="N42" s="327" t="s">
        <v>208</v>
      </c>
      <c r="O42" s="326">
        <f>IF($C$9+$C$15=0,0,C42*($O$9+$O$15)/($C$9+$C$15))</f>
        <v>0</v>
      </c>
      <c r="P42" s="328" t="s">
        <v>208</v>
      </c>
      <c r="Q42" s="69">
        <f>D36/4</f>
        <v>3261</v>
      </c>
    </row>
    <row r="43" spans="1:16" ht="15">
      <c r="A43" s="105" t="s">
        <v>33</v>
      </c>
      <c r="B43" s="72" t="s">
        <v>232</v>
      </c>
      <c r="C43" s="371">
        <f>собіварт!C43</f>
        <v>6123.200000000001</v>
      </c>
      <c r="D43" s="90">
        <f>IF(D40+D37=0,0,(F43*F40+F43*F37+I43*I40+I43*I37)/(D37+D40))</f>
        <v>6123.2</v>
      </c>
      <c r="E43" s="372" t="str">
        <f>собіварт!E43</f>
        <v>x</v>
      </c>
      <c r="F43" s="371">
        <f>собіварт!F43</f>
        <v>6123.2</v>
      </c>
      <c r="G43" s="372" t="str">
        <f>собіварт!G43</f>
        <v>x</v>
      </c>
      <c r="H43" s="372" t="str">
        <f>собіварт!H43</f>
        <v>x</v>
      </c>
      <c r="I43" s="371">
        <f>собіварт!I43</f>
        <v>6123.2</v>
      </c>
      <c r="J43" s="372" t="str">
        <f>собіварт!J43</f>
        <v>x</v>
      </c>
      <c r="K43" s="90">
        <f>IF(K40+K37=0,0,(M43*M40+M43*M37+O43*O40+O43*O37)/(K37+K40))</f>
        <v>6123.2</v>
      </c>
      <c r="L43" s="372" t="str">
        <f>собіварт!L43</f>
        <v>x</v>
      </c>
      <c r="M43" s="371">
        <f>собіварт!M43</f>
        <v>6123.2</v>
      </c>
      <c r="N43" s="372" t="str">
        <f>собіварт!N43</f>
        <v>x</v>
      </c>
      <c r="O43" s="371">
        <f>собіварт!O43</f>
        <v>6123.2</v>
      </c>
      <c r="P43" s="324" t="str">
        <f>собіварт!P43</f>
        <v>x</v>
      </c>
    </row>
    <row r="44" spans="1:16" ht="15">
      <c r="A44" s="105" t="s">
        <v>34</v>
      </c>
      <c r="B44" s="72" t="s">
        <v>247</v>
      </c>
      <c r="C44" s="371">
        <f>собіварт!C44</f>
        <v>674.4367919999999</v>
      </c>
      <c r="D44" s="373" t="s">
        <v>208</v>
      </c>
      <c r="E44" s="372" t="str">
        <f>собіварт!E44</f>
        <v>x</v>
      </c>
      <c r="F44" s="372" t="str">
        <f>собіварт!F44</f>
        <v>x</v>
      </c>
      <c r="G44" s="372" t="str">
        <f>собіварт!G44</f>
        <v>x</v>
      </c>
      <c r="H44" s="372" t="str">
        <f>собіварт!H44</f>
        <v>x</v>
      </c>
      <c r="I44" s="372" t="str">
        <f>собіварт!I44</f>
        <v>x</v>
      </c>
      <c r="J44" s="372" t="str">
        <f>собіварт!J44</f>
        <v>x</v>
      </c>
      <c r="K44" s="90">
        <f>M44+O44</f>
        <v>674.4367919999999</v>
      </c>
      <c r="L44" s="372" t="str">
        <f>собіварт!L44</f>
        <v>x</v>
      </c>
      <c r="M44" s="371">
        <f>собіварт!M44</f>
        <v>674.4367919999999</v>
      </c>
      <c r="N44" s="372" t="str">
        <f>собіварт!N44</f>
        <v>x</v>
      </c>
      <c r="O44" s="371">
        <f>собіварт!O44</f>
        <v>0</v>
      </c>
      <c r="P44" s="324" t="str">
        <f>собіварт!P44</f>
        <v>x</v>
      </c>
    </row>
    <row r="45" spans="1:16" ht="15">
      <c r="A45" s="105" t="s">
        <v>219</v>
      </c>
      <c r="B45" s="72" t="s">
        <v>252</v>
      </c>
      <c r="C45" s="322">
        <f>собіварт!C45</f>
        <v>10.73</v>
      </c>
      <c r="D45" s="88" t="s">
        <v>208</v>
      </c>
      <c r="E45" s="323" t="str">
        <f>собіварт!E45</f>
        <v>x</v>
      </c>
      <c r="F45" s="323" t="str">
        <f>собіварт!F45</f>
        <v>x</v>
      </c>
      <c r="G45" s="323" t="str">
        <f>собіварт!G45</f>
        <v>x</v>
      </c>
      <c r="H45" s="323" t="str">
        <f>собіварт!H45</f>
        <v>x</v>
      </c>
      <c r="I45" s="323" t="str">
        <f>собіварт!I45</f>
        <v>x</v>
      </c>
      <c r="J45" s="323" t="str">
        <f>собіварт!J45</f>
        <v>x</v>
      </c>
      <c r="K45" s="83">
        <f>C45</f>
        <v>10.73</v>
      </c>
      <c r="L45" s="323" t="str">
        <f>собіварт!L45</f>
        <v>x</v>
      </c>
      <c r="M45" s="322">
        <f>собіварт!M45</f>
        <v>10.73</v>
      </c>
      <c r="N45" s="323" t="str">
        <f>собіварт!N45</f>
        <v>x</v>
      </c>
      <c r="O45" s="322">
        <f>собіварт!O45</f>
        <v>10.73</v>
      </c>
      <c r="P45" s="324" t="str">
        <f>собіварт!P45</f>
        <v>x</v>
      </c>
    </row>
    <row r="46" spans="1:16" s="97" customFormat="1" ht="15">
      <c r="A46" s="113" t="s">
        <v>221</v>
      </c>
      <c r="B46" s="96" t="s">
        <v>233</v>
      </c>
      <c r="C46" s="348">
        <f>собіварт!C46</f>
        <v>0.25</v>
      </c>
      <c r="D46" s="102">
        <f>C46</f>
        <v>0.25</v>
      </c>
      <c r="E46" s="370" t="str">
        <f>собіварт!E46</f>
        <v>x</v>
      </c>
      <c r="F46" s="348">
        <f>собіварт!F46</f>
        <v>0.25</v>
      </c>
      <c r="G46" s="370" t="str">
        <f>собіварт!G46</f>
        <v>x</v>
      </c>
      <c r="H46" s="370" t="str">
        <f>собіварт!H46</f>
        <v>x</v>
      </c>
      <c r="I46" s="348">
        <f>собіварт!I46</f>
        <v>0.25</v>
      </c>
      <c r="J46" s="370" t="str">
        <f>собіварт!J46</f>
        <v>x</v>
      </c>
      <c r="K46" s="102">
        <f>C46</f>
        <v>0.25</v>
      </c>
      <c r="L46" s="370" t="str">
        <f>собіварт!L46</f>
        <v>x</v>
      </c>
      <c r="M46" s="348">
        <f>собіварт!M46</f>
        <v>0.25</v>
      </c>
      <c r="N46" s="370" t="str">
        <f>собіварт!N46</f>
        <v>x</v>
      </c>
      <c r="O46" s="348">
        <f>собіварт!O46</f>
        <v>0.25</v>
      </c>
      <c r="P46" s="324" t="str">
        <f>собіварт!P46</f>
        <v>x</v>
      </c>
    </row>
    <row r="47" spans="1:16" ht="30">
      <c r="A47" s="105" t="s">
        <v>222</v>
      </c>
      <c r="B47" s="98" t="s">
        <v>287</v>
      </c>
      <c r="C47" s="347" t="str">
        <f>собіварт!C47</f>
        <v>x</v>
      </c>
      <c r="D47" s="79" t="s">
        <v>208</v>
      </c>
      <c r="E47" s="149">
        <f>собіварт!E47</f>
        <v>0.17878566712869315</v>
      </c>
      <c r="F47" s="347" t="str">
        <f>собіварт!F47</f>
        <v>x</v>
      </c>
      <c r="G47" s="149">
        <f>собіварт!G47</f>
        <v>0.18200136177185341</v>
      </c>
      <c r="H47" s="347" t="str">
        <f>собіварт!H47</f>
        <v>x</v>
      </c>
      <c r="I47" s="347" t="str">
        <f>собіварт!I47</f>
        <v>x</v>
      </c>
      <c r="J47" s="149">
        <f>собіварт!J47</f>
        <v>0.17756756756756759</v>
      </c>
      <c r="K47" s="79" t="s">
        <v>208</v>
      </c>
      <c r="L47" s="149">
        <f>собіварт!L47</f>
        <v>0.07172882028015035</v>
      </c>
      <c r="M47" s="347" t="str">
        <f>собіварт!M47</f>
        <v>x</v>
      </c>
      <c r="N47" s="149">
        <f>собіварт!N47</f>
        <v>0.07172882028015035</v>
      </c>
      <c r="O47" s="347" t="str">
        <f>собіварт!O47</f>
        <v>x</v>
      </c>
      <c r="P47" s="374">
        <f>собіварт!P47</f>
        <v>0</v>
      </c>
    </row>
    <row r="48" spans="1:16" ht="15">
      <c r="A48" s="105" t="s">
        <v>224</v>
      </c>
      <c r="B48" s="98" t="s">
        <v>235</v>
      </c>
      <c r="C48" s="323" t="str">
        <f>собіварт!C48</f>
        <v>x</v>
      </c>
      <c r="D48" s="88" t="s">
        <v>208</v>
      </c>
      <c r="E48" s="325">
        <f>собіварт!E48</f>
        <v>191</v>
      </c>
      <c r="F48" s="323" t="str">
        <f>собіварт!F48</f>
        <v>x</v>
      </c>
      <c r="G48" s="323" t="str">
        <f>собіварт!G48</f>
        <v>x</v>
      </c>
      <c r="H48" s="323" t="str">
        <f>собіварт!H48</f>
        <v>x</v>
      </c>
      <c r="I48" s="323" t="str">
        <f>собіварт!I48</f>
        <v>x</v>
      </c>
      <c r="J48" s="323" t="str">
        <f>собіварт!J48</f>
        <v>x</v>
      </c>
      <c r="K48" s="88" t="s">
        <v>208</v>
      </c>
      <c r="L48" s="323" t="str">
        <f>собіварт!L48</f>
        <v>x</v>
      </c>
      <c r="M48" s="323" t="str">
        <f>собіварт!M48</f>
        <v>x</v>
      </c>
      <c r="N48" s="323" t="str">
        <f>собіварт!N48</f>
        <v>x</v>
      </c>
      <c r="O48" s="323" t="str">
        <f>собіварт!O48</f>
        <v>x</v>
      </c>
      <c r="P48" s="324" t="str">
        <f>собіварт!P48</f>
        <v>x</v>
      </c>
    </row>
    <row r="49" spans="1:16" ht="16.5" customHeight="1" thickBot="1">
      <c r="A49" s="107" t="s">
        <v>227</v>
      </c>
      <c r="B49" s="10" t="s">
        <v>284</v>
      </c>
      <c r="C49" s="329" t="str">
        <f>собіварт!C49</f>
        <v>x</v>
      </c>
      <c r="D49" s="109" t="s">
        <v>208</v>
      </c>
      <c r="E49" s="424">
        <f>собіварт!E49</f>
        <v>-0.5</v>
      </c>
      <c r="F49" s="329" t="str">
        <f>собіварт!F49</f>
        <v>x</v>
      </c>
      <c r="G49" s="329" t="str">
        <f>собіварт!G49</f>
        <v>x</v>
      </c>
      <c r="H49" s="329" t="str">
        <f>собіварт!H49</f>
        <v>x</v>
      </c>
      <c r="I49" s="329" t="str">
        <f>собіварт!I49</f>
        <v>x</v>
      </c>
      <c r="J49" s="329" t="str">
        <f>собіварт!J49</f>
        <v>x</v>
      </c>
      <c r="K49" s="109" t="s">
        <v>208</v>
      </c>
      <c r="L49" s="329" t="str">
        <f>собіварт!L49</f>
        <v>x</v>
      </c>
      <c r="M49" s="329" t="str">
        <f>собіварт!M49</f>
        <v>x</v>
      </c>
      <c r="N49" s="329" t="str">
        <f>собіварт!N49</f>
        <v>x</v>
      </c>
      <c r="O49" s="329" t="str">
        <f>собіварт!O49</f>
        <v>x</v>
      </c>
      <c r="P49" s="330" t="str">
        <f>собіварт!P49</f>
        <v>x</v>
      </c>
    </row>
    <row r="50" spans="1:16" ht="15.75" thickBot="1">
      <c r="A50" s="600" t="s">
        <v>234</v>
      </c>
      <c r="B50" s="601"/>
      <c r="C50" s="601"/>
      <c r="D50" s="601"/>
      <c r="E50" s="601"/>
      <c r="F50" s="601"/>
      <c r="G50" s="601"/>
      <c r="H50" s="601"/>
      <c r="I50" s="601"/>
      <c r="J50" s="601"/>
      <c r="K50" s="601"/>
      <c r="L50" s="601"/>
      <c r="M50" s="601"/>
      <c r="N50" s="601"/>
      <c r="O50" s="601"/>
      <c r="P50" s="602"/>
    </row>
    <row r="51" spans="1:16" ht="30">
      <c r="A51" s="117" t="s">
        <v>8</v>
      </c>
      <c r="B51" s="204" t="s">
        <v>286</v>
      </c>
      <c r="C51" s="331" t="str">
        <f>собіварт!C51</f>
        <v>x</v>
      </c>
      <c r="D51" s="331" t="str">
        <f>собіварт!D51</f>
        <v>x</v>
      </c>
      <c r="E51" s="332">
        <f>собіварт!E51</f>
        <v>0</v>
      </c>
      <c r="F51" s="375" t="str">
        <f>собіварт!F51</f>
        <v>x</v>
      </c>
      <c r="G51" s="332">
        <f>собіварт!G51</f>
        <v>0</v>
      </c>
      <c r="H51" s="375" t="str">
        <f>собіварт!H51</f>
        <v>x</v>
      </c>
      <c r="I51" s="375" t="str">
        <f>собіварт!I51</f>
        <v>x</v>
      </c>
      <c r="J51" s="332">
        <f>собіварт!J51</f>
        <v>0</v>
      </c>
      <c r="K51" s="375" t="str">
        <f>собіварт!K51</f>
        <v>x</v>
      </c>
      <c r="L51" s="332">
        <f>собіварт!L51</f>
        <v>0</v>
      </c>
      <c r="M51" s="375" t="str">
        <f>собіварт!M51</f>
        <v>x</v>
      </c>
      <c r="N51" s="332">
        <f>собіварт!N51</f>
        <v>0.059</v>
      </c>
      <c r="O51" s="375" t="str">
        <f>собіварт!O51</f>
        <v>x</v>
      </c>
      <c r="P51" s="376">
        <f>собіварт!P51</f>
        <v>0.059</v>
      </c>
    </row>
    <row r="52" spans="1:16" ht="30">
      <c r="A52" s="105" t="s">
        <v>9</v>
      </c>
      <c r="B52" s="98" t="s">
        <v>253</v>
      </c>
      <c r="C52" s="327" t="str">
        <f>собіварт!C52</f>
        <v>x</v>
      </c>
      <c r="D52" s="327" t="str">
        <f>собіварт!D52</f>
        <v>x</v>
      </c>
      <c r="E52" s="333">
        <f>собіварт!E52</f>
        <v>191</v>
      </c>
      <c r="F52" s="327" t="str">
        <f>собіварт!F52</f>
        <v>x</v>
      </c>
      <c r="G52" s="327" t="str">
        <f>собіварт!G52</f>
        <v>x</v>
      </c>
      <c r="H52" s="327" t="str">
        <f>собіварт!H52</f>
        <v>x</v>
      </c>
      <c r="I52" s="327" t="str">
        <f>собіварт!I52</f>
        <v>x</v>
      </c>
      <c r="J52" s="327" t="str">
        <f>собіварт!J52</f>
        <v>x</v>
      </c>
      <c r="K52" s="327" t="str">
        <f>собіварт!K52</f>
        <v>x</v>
      </c>
      <c r="L52" s="327" t="str">
        <f>собіварт!L52</f>
        <v>x</v>
      </c>
      <c r="M52" s="327" t="str">
        <f>собіварт!M52</f>
        <v>x</v>
      </c>
      <c r="N52" s="327" t="str">
        <f>собіварт!N52</f>
        <v>x</v>
      </c>
      <c r="O52" s="327" t="str">
        <f>собіварт!O52</f>
        <v>x</v>
      </c>
      <c r="P52" s="328" t="str">
        <f>собіварт!P52</f>
        <v>x</v>
      </c>
    </row>
    <row r="53" spans="1:16" ht="33.75" customHeight="1">
      <c r="A53" s="105" t="s">
        <v>13</v>
      </c>
      <c r="B53" s="3" t="s">
        <v>285</v>
      </c>
      <c r="C53" s="327" t="str">
        <f>собіварт!C53</f>
        <v>x</v>
      </c>
      <c r="D53" s="327" t="str">
        <f>собіварт!D53</f>
        <v>x</v>
      </c>
      <c r="E53" s="334">
        <f>собіварт!E53</f>
        <v>-0.5</v>
      </c>
      <c r="F53" s="370" t="str">
        <f>собіварт!F53</f>
        <v>x</v>
      </c>
      <c r="G53" s="370" t="str">
        <f>собіварт!G53</f>
        <v>x</v>
      </c>
      <c r="H53" s="370" t="str">
        <f>собіварт!H53</f>
        <v>x</v>
      </c>
      <c r="I53" s="370" t="str">
        <f>собіварт!I53</f>
        <v>x</v>
      </c>
      <c r="J53" s="370" t="str">
        <f>собіварт!J53</f>
        <v>x</v>
      </c>
      <c r="K53" s="370" t="str">
        <f>собіварт!K53</f>
        <v>x</v>
      </c>
      <c r="L53" s="370" t="str">
        <f>собіварт!L53</f>
        <v>x</v>
      </c>
      <c r="M53" s="370" t="str">
        <f>собіварт!M53</f>
        <v>x</v>
      </c>
      <c r="N53" s="370" t="str">
        <f>собіварт!N53</f>
        <v>x</v>
      </c>
      <c r="O53" s="370" t="str">
        <f>собіварт!O53</f>
        <v>x</v>
      </c>
      <c r="P53" s="377" t="str">
        <f>собіварт!P53</f>
        <v>x</v>
      </c>
    </row>
    <row r="54" spans="1:16" ht="15">
      <c r="A54" s="105" t="s">
        <v>17</v>
      </c>
      <c r="B54" s="98" t="s">
        <v>297</v>
      </c>
      <c r="C54" s="327" t="str">
        <f>собіварт!C54</f>
        <v>x</v>
      </c>
      <c r="D54" s="327" t="str">
        <f>собіварт!D54</f>
        <v>x</v>
      </c>
      <c r="E54" s="334">
        <f>собіварт!E54</f>
        <v>0</v>
      </c>
      <c r="F54" s="370" t="str">
        <f>собіварт!F54</f>
        <v>x</v>
      </c>
      <c r="G54" s="334">
        <f>собіварт!G54</f>
        <v>0</v>
      </c>
      <c r="H54" s="334">
        <f>собіварт!H54</f>
        <v>83.13</v>
      </c>
      <c r="I54" s="370" t="str">
        <f>собіварт!I54</f>
        <v>x</v>
      </c>
      <c r="J54" s="334">
        <f>собіварт!J54</f>
        <v>0</v>
      </c>
      <c r="K54" s="370" t="str">
        <f>собіварт!K54</f>
        <v>x</v>
      </c>
      <c r="L54" s="334">
        <f>собіварт!L54</f>
        <v>5.76</v>
      </c>
      <c r="M54" s="370" t="str">
        <f>собіварт!M54</f>
        <v>x</v>
      </c>
      <c r="N54" s="334">
        <f>собіварт!N54</f>
        <v>0</v>
      </c>
      <c r="O54" s="370" t="str">
        <f>собіварт!O54</f>
        <v>x</v>
      </c>
      <c r="P54" s="378">
        <f>собіварт!P54</f>
        <v>0</v>
      </c>
    </row>
    <row r="55" spans="1:16" ht="30">
      <c r="A55" s="105" t="s">
        <v>18</v>
      </c>
      <c r="B55" s="98" t="s">
        <v>296</v>
      </c>
      <c r="C55" s="327" t="str">
        <f>собіварт!C55</f>
        <v>x</v>
      </c>
      <c r="D55" s="327" t="str">
        <f>собіварт!D55</f>
        <v>x</v>
      </c>
      <c r="E55" s="334">
        <f>собіварт!E55</f>
        <v>0</v>
      </c>
      <c r="F55" s="370" t="str">
        <f>собіварт!F55</f>
        <v>x</v>
      </c>
      <c r="G55" s="334">
        <f>собіварт!G55</f>
        <v>0</v>
      </c>
      <c r="H55" s="334">
        <f>собіварт!H55</f>
        <v>0</v>
      </c>
      <c r="I55" s="370" t="str">
        <f>собіварт!I55</f>
        <v>x</v>
      </c>
      <c r="J55" s="334">
        <f>собіварт!J55</f>
        <v>2.39</v>
      </c>
      <c r="K55" s="370" t="str">
        <f>собіварт!K55</f>
        <v>x</v>
      </c>
      <c r="L55" s="370" t="str">
        <f>собіварт!L55</f>
        <v>x</v>
      </c>
      <c r="M55" s="370" t="str">
        <f>собіварт!M55</f>
        <v>x</v>
      </c>
      <c r="N55" s="370" t="str">
        <f>собіварт!N55</f>
        <v>x</v>
      </c>
      <c r="O55" s="370" t="str">
        <f>собіварт!O55</f>
        <v>x</v>
      </c>
      <c r="P55" s="377" t="str">
        <f>собіварт!P55</f>
        <v>x</v>
      </c>
    </row>
    <row r="56" spans="1:16" ht="30">
      <c r="A56" s="105" t="s">
        <v>25</v>
      </c>
      <c r="B56" s="98" t="s">
        <v>236</v>
      </c>
      <c r="C56" s="327" t="str">
        <f>собіварт!C56</f>
        <v>x</v>
      </c>
      <c r="D56" s="327" t="str">
        <f>собіварт!D56</f>
        <v>x</v>
      </c>
      <c r="E56" s="334">
        <f>собіварт!E56</f>
        <v>0</v>
      </c>
      <c r="F56" s="370" t="str">
        <f>собіварт!F56</f>
        <v>x</v>
      </c>
      <c r="G56" s="334">
        <f>собіварт!G56</f>
        <v>0</v>
      </c>
      <c r="H56" s="370" t="str">
        <f>собіварт!H56</f>
        <v>x</v>
      </c>
      <c r="I56" s="370" t="str">
        <f>собіварт!I56</f>
        <v>x</v>
      </c>
      <c r="J56" s="334">
        <f>собіварт!J56</f>
        <v>0</v>
      </c>
      <c r="K56" s="370" t="str">
        <f>собіварт!K56</f>
        <v>x</v>
      </c>
      <c r="L56" s="370" t="str">
        <f>собіварт!L56</f>
        <v>x</v>
      </c>
      <c r="M56" s="370" t="str">
        <f>собіварт!M56</f>
        <v>x</v>
      </c>
      <c r="N56" s="370" t="str">
        <f>собіварт!N56</f>
        <v>x</v>
      </c>
      <c r="O56" s="370" t="str">
        <f>собіварт!O56</f>
        <v>x</v>
      </c>
      <c r="P56" s="377" t="str">
        <f>собіварт!P56</f>
        <v>x</v>
      </c>
    </row>
    <row r="57" spans="1:16" ht="15.75" thickBot="1">
      <c r="A57" s="107" t="s">
        <v>32</v>
      </c>
      <c r="B57" s="108" t="s">
        <v>237</v>
      </c>
      <c r="C57" s="335" t="str">
        <f>собіварт!C57</f>
        <v>x</v>
      </c>
      <c r="D57" s="335" t="str">
        <f>собіварт!D57</f>
        <v>x</v>
      </c>
      <c r="E57" s="379" t="str">
        <f>собіварт!E57</f>
        <v>x</v>
      </c>
      <c r="F57" s="379" t="str">
        <f>собіварт!F57</f>
        <v>x</v>
      </c>
      <c r="G57" s="379" t="str">
        <f>собіварт!G57</f>
        <v>x</v>
      </c>
      <c r="H57" s="379" t="str">
        <f>собіварт!H57</f>
        <v>x</v>
      </c>
      <c r="I57" s="379" t="str">
        <f>собіварт!I57</f>
        <v>x</v>
      </c>
      <c r="J57" s="379" t="str">
        <f>собіварт!J57</f>
        <v>x</v>
      </c>
      <c r="K57" s="379" t="str">
        <f>собіварт!K57</f>
        <v>x</v>
      </c>
      <c r="L57" s="380">
        <f>собіварт!L57</f>
        <v>0</v>
      </c>
      <c r="M57" s="379" t="str">
        <f>собіварт!M57</f>
        <v>x</v>
      </c>
      <c r="N57" s="380">
        <f>собіварт!N57</f>
        <v>0</v>
      </c>
      <c r="O57" s="380">
        <f>собіварт!O57</f>
        <v>0</v>
      </c>
      <c r="P57" s="381">
        <f>собіварт!P57</f>
        <v>0</v>
      </c>
    </row>
    <row r="58" spans="1:16" ht="15">
      <c r="A58" s="142"/>
      <c r="B58" s="143" t="s">
        <v>38</v>
      </c>
      <c r="C58" s="144"/>
      <c r="D58" s="144" t="s">
        <v>39</v>
      </c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489" t="s">
        <v>400</v>
      </c>
      <c r="P58" s="144"/>
    </row>
    <row r="59" spans="1:16" ht="15">
      <c r="A59" s="142"/>
      <c r="B59" s="143"/>
      <c r="C59" s="144"/>
      <c r="D59" s="144" t="s">
        <v>42</v>
      </c>
      <c r="E59" s="144" t="s">
        <v>41</v>
      </c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</row>
    <row r="60" spans="1:16" ht="15">
      <c r="A60" s="142"/>
      <c r="B60" s="143" t="s">
        <v>43</v>
      </c>
      <c r="C60" s="144"/>
      <c r="D60" s="489" t="s">
        <v>407</v>
      </c>
      <c r="E60" s="144" t="s">
        <v>398</v>
      </c>
      <c r="F60" s="144" t="s">
        <v>399</v>
      </c>
      <c r="G60" s="144"/>
      <c r="H60" s="144"/>
      <c r="I60" s="144"/>
      <c r="J60" s="144"/>
      <c r="K60" s="144"/>
      <c r="L60" s="144"/>
      <c r="M60" s="144"/>
      <c r="N60" s="144"/>
      <c r="O60" s="144"/>
      <c r="P60" s="144"/>
    </row>
    <row r="61" spans="1:16" ht="15">
      <c r="A61" s="142"/>
      <c r="B61" s="143"/>
      <c r="C61" s="144"/>
      <c r="D61" s="144" t="s">
        <v>44</v>
      </c>
      <c r="E61" s="144" t="s">
        <v>41</v>
      </c>
      <c r="F61" s="144" t="s">
        <v>47</v>
      </c>
      <c r="G61" s="144"/>
      <c r="H61" s="144"/>
      <c r="I61" s="144"/>
      <c r="J61" s="144"/>
      <c r="K61" s="144"/>
      <c r="L61" s="144"/>
      <c r="M61" s="144"/>
      <c r="N61" s="144"/>
      <c r="O61" s="144"/>
      <c r="P61" s="144"/>
    </row>
    <row r="62" ht="15">
      <c r="B62" s="70"/>
    </row>
    <row r="63" ht="15">
      <c r="B63" s="70"/>
    </row>
    <row r="64" ht="15">
      <c r="B64" s="70"/>
    </row>
    <row r="65" ht="15">
      <c r="B65" s="70"/>
    </row>
    <row r="66" ht="15">
      <c r="B66" s="70"/>
    </row>
    <row r="67" ht="15">
      <c r="B67" s="70"/>
    </row>
    <row r="68" ht="15">
      <c r="B68" s="70"/>
    </row>
    <row r="69" ht="15">
      <c r="B69" s="70"/>
    </row>
    <row r="70" ht="15">
      <c r="B70" s="70"/>
    </row>
    <row r="71" ht="15">
      <c r="B71" s="70"/>
    </row>
    <row r="72" ht="15">
      <c r="B72" s="70"/>
    </row>
    <row r="73" ht="15">
      <c r="B73" s="70"/>
    </row>
    <row r="74" ht="15">
      <c r="B74" s="70"/>
    </row>
    <row r="75" ht="15">
      <c r="B75" s="70"/>
    </row>
    <row r="76" ht="15">
      <c r="B76" s="70"/>
    </row>
    <row r="77" ht="15">
      <c r="B77" s="70"/>
    </row>
    <row r="78" ht="15">
      <c r="B78" s="70"/>
    </row>
    <row r="79" ht="15">
      <c r="B79" s="70"/>
    </row>
    <row r="80" ht="15">
      <c r="B80" s="70"/>
    </row>
    <row r="81" ht="15">
      <c r="B81" s="70"/>
    </row>
    <row r="82" ht="15">
      <c r="B82" s="70"/>
    </row>
    <row r="83" ht="15">
      <c r="B83" s="70"/>
    </row>
    <row r="84" ht="15">
      <c r="B84" s="70"/>
    </row>
    <row r="85" ht="15">
      <c r="B85" s="70"/>
    </row>
    <row r="86" ht="15">
      <c r="B86" s="70"/>
    </row>
  </sheetData>
  <sheetProtection password="CC5D" sheet="1"/>
  <mergeCells count="22">
    <mergeCell ref="A29:P29"/>
    <mergeCell ref="A50:P50"/>
    <mergeCell ref="L4:L6"/>
    <mergeCell ref="M4:P4"/>
    <mergeCell ref="F5:F6"/>
    <mergeCell ref="G5:H5"/>
    <mergeCell ref="A1:P1"/>
    <mergeCell ref="A2:P2"/>
    <mergeCell ref="A3:A7"/>
    <mergeCell ref="B3:B7"/>
    <mergeCell ref="C3:C6"/>
    <mergeCell ref="D3:P3"/>
    <mergeCell ref="M5:M6"/>
    <mergeCell ref="N5:N6"/>
    <mergeCell ref="F4:J4"/>
    <mergeCell ref="K4:K6"/>
    <mergeCell ref="I5:I6"/>
    <mergeCell ref="J5:J6"/>
    <mergeCell ref="O5:O6"/>
    <mergeCell ref="P5:P6"/>
    <mergeCell ref="D4:D6"/>
    <mergeCell ref="E4:E6"/>
  </mergeCells>
  <printOptions/>
  <pageMargins left="0.31496062992125984" right="0.07874015748031496" top="0.15748031496062992" bottom="0.15748031496062992" header="0.15748031496062992" footer="0.31496062992125984"/>
  <pageSetup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U66"/>
  <sheetViews>
    <sheetView view="pageBreakPreview" zoomScale="60" zoomScalePageLayoutView="0" workbookViewId="0" topLeftCell="A1">
      <pane xSplit="2" ySplit="11" topLeftCell="E27" activePane="bottomRight" state="frozen"/>
      <selection pane="topLeft" activeCell="C48" sqref="C48:J48"/>
      <selection pane="topRight" activeCell="C48" sqref="C48:J48"/>
      <selection pane="bottomLeft" activeCell="C48" sqref="C48:J48"/>
      <selection pane="bottomRight" activeCell="E59" sqref="E59"/>
    </sheetView>
  </sheetViews>
  <sheetFormatPr defaultColWidth="11.57421875" defaultRowHeight="15"/>
  <cols>
    <col min="1" max="1" width="7.28125" style="205" customWidth="1"/>
    <col min="2" max="2" width="59.28125" style="205" customWidth="1"/>
    <col min="3" max="3" width="11.421875" style="205" hidden="1" customWidth="1"/>
    <col min="4" max="4" width="11.140625" style="205" hidden="1" customWidth="1"/>
    <col min="5" max="5" width="17.8515625" style="205" customWidth="1"/>
    <col min="6" max="6" width="18.00390625" style="205" customWidth="1"/>
    <col min="7" max="7" width="14.8515625" style="205" hidden="1" customWidth="1"/>
    <col min="8" max="8" width="13.28125" style="205" hidden="1" customWidth="1"/>
    <col min="9" max="9" width="14.8515625" style="205" hidden="1" customWidth="1"/>
    <col min="10" max="10" width="13.421875" style="205" hidden="1" customWidth="1"/>
    <col min="11" max="18" width="11.57421875" style="205" hidden="1" customWidth="1"/>
    <col min="19" max="19" width="24.140625" style="205" customWidth="1"/>
    <col min="20" max="20" width="10.28125" style="205" customWidth="1"/>
    <col min="21" max="21" width="25.28125" style="205" customWidth="1"/>
    <col min="22" max="16384" width="11.57421875" style="205" customWidth="1"/>
  </cols>
  <sheetData>
    <row r="1" spans="3:10" ht="16.5">
      <c r="C1" s="206"/>
      <c r="D1" s="207"/>
      <c r="E1" s="603" t="str">
        <f>'[1]Додаток4'!E1</f>
        <v>Додаток 4</v>
      </c>
      <c r="F1" s="603"/>
      <c r="G1" s="603" t="s">
        <v>298</v>
      </c>
      <c r="H1" s="603"/>
      <c r="I1" s="603"/>
      <c r="J1" s="603"/>
    </row>
    <row r="2" spans="3:10" ht="15" customHeight="1">
      <c r="C2" s="206"/>
      <c r="D2" s="207"/>
      <c r="E2" s="603"/>
      <c r="F2" s="603"/>
      <c r="G2" s="604" t="str">
        <f>'[2]Додаток1'!G2</f>
        <v>до постанови Національної комісії, що здійснює</v>
      </c>
      <c r="H2" s="604"/>
      <c r="I2" s="604"/>
      <c r="J2" s="604"/>
    </row>
    <row r="3" spans="1:19" ht="15" customHeight="1">
      <c r="A3" s="208"/>
      <c r="B3" s="208"/>
      <c r="C3" s="209"/>
      <c r="D3" s="210"/>
      <c r="E3" s="603"/>
      <c r="F3" s="603"/>
      <c r="G3" s="604" t="str">
        <f>'[2]Додаток1'!G3</f>
        <v>державне регулювання у сфері комунальних послуг </v>
      </c>
      <c r="H3" s="604"/>
      <c r="I3" s="604"/>
      <c r="J3" s="604"/>
      <c r="K3" s="208"/>
      <c r="L3" s="208"/>
      <c r="M3" s="208"/>
      <c r="N3" s="208"/>
      <c r="O3" s="208"/>
      <c r="P3" s="208"/>
      <c r="Q3" s="208"/>
      <c r="R3" s="208"/>
      <c r="S3" s="208"/>
    </row>
    <row r="4" spans="3:10" ht="16.5">
      <c r="C4" s="206"/>
      <c r="D4" s="207"/>
      <c r="E4" s="603" t="str">
        <f>'[1]Додаток4'!E4</f>
        <v>_________________№______</v>
      </c>
      <c r="F4" s="603"/>
      <c r="G4" s="604" t="s">
        <v>299</v>
      </c>
      <c r="H4" s="604"/>
      <c r="I4" s="604"/>
      <c r="J4" s="604"/>
    </row>
    <row r="5" spans="1:19" ht="18.75" customHeight="1">
      <c r="A5" s="211"/>
      <c r="B5" s="212"/>
      <c r="C5" s="213"/>
      <c r="D5" s="214"/>
      <c r="E5" s="214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</row>
    <row r="6" spans="1:19" ht="36.75" customHeight="1">
      <c r="A6" s="613" t="s">
        <v>385</v>
      </c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</row>
    <row r="7" spans="1:19" ht="18.75" customHeight="1">
      <c r="A7" s="613" t="str">
        <f>Додаток4!A7</f>
        <v>КУЗНЄЦОВСЬКОГО МІСЬКОГО КОМУНАЛЬНОГО ПІДПРИЄМСТВА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</row>
    <row r="8" spans="1:20" ht="18.75">
      <c r="A8" s="216"/>
      <c r="B8" s="217"/>
      <c r="C8" s="217"/>
      <c r="D8" s="217"/>
      <c r="E8" s="217"/>
      <c r="F8" s="605"/>
      <c r="G8" s="605"/>
      <c r="H8" s="217"/>
      <c r="J8" s="219" t="s">
        <v>300</v>
      </c>
      <c r="S8" s="218" t="str">
        <f>'[1]Додаток4'!F8</f>
        <v>Без ПДВ</v>
      </c>
      <c r="T8" s="220"/>
    </row>
    <row r="9" spans="1:20" ht="36.75" customHeight="1">
      <c r="A9" s="606" t="s">
        <v>301</v>
      </c>
      <c r="B9" s="606" t="s">
        <v>302</v>
      </c>
      <c r="C9" s="608" t="s">
        <v>303</v>
      </c>
      <c r="D9" s="609"/>
      <c r="E9" s="608" t="s">
        <v>304</v>
      </c>
      <c r="F9" s="609"/>
      <c r="G9" s="610" t="s">
        <v>305</v>
      </c>
      <c r="H9" s="611"/>
      <c r="I9" s="610" t="s">
        <v>306</v>
      </c>
      <c r="J9" s="611"/>
      <c r="K9" s="614" t="s">
        <v>307</v>
      </c>
      <c r="L9" s="615"/>
      <c r="M9" s="614" t="s">
        <v>304</v>
      </c>
      <c r="N9" s="615"/>
      <c r="O9" s="614" t="s">
        <v>308</v>
      </c>
      <c r="P9" s="615"/>
      <c r="Q9" s="614" t="s">
        <v>309</v>
      </c>
      <c r="R9" s="615"/>
      <c r="S9" s="221" t="s">
        <v>310</v>
      </c>
      <c r="T9" s="222"/>
    </row>
    <row r="10" spans="1:19" ht="27.75" customHeight="1">
      <c r="A10" s="607"/>
      <c r="B10" s="607"/>
      <c r="C10" s="223" t="s">
        <v>311</v>
      </c>
      <c r="D10" s="223" t="s">
        <v>295</v>
      </c>
      <c r="E10" s="223" t="s">
        <v>311</v>
      </c>
      <c r="F10" s="223" t="s">
        <v>295</v>
      </c>
      <c r="G10" s="224" t="s">
        <v>311</v>
      </c>
      <c r="H10" s="224" t="s">
        <v>295</v>
      </c>
      <c r="I10" s="224" t="s">
        <v>311</v>
      </c>
      <c r="J10" s="224" t="s">
        <v>295</v>
      </c>
      <c r="K10" s="224" t="s">
        <v>312</v>
      </c>
      <c r="L10" s="224" t="s">
        <v>295</v>
      </c>
      <c r="M10" s="224" t="s">
        <v>312</v>
      </c>
      <c r="N10" s="224" t="s">
        <v>295</v>
      </c>
      <c r="O10" s="224" t="s">
        <v>312</v>
      </c>
      <c r="P10" s="224" t="s">
        <v>295</v>
      </c>
      <c r="Q10" s="224" t="s">
        <v>312</v>
      </c>
      <c r="R10" s="224" t="s">
        <v>295</v>
      </c>
      <c r="S10" s="225" t="s">
        <v>386</v>
      </c>
    </row>
    <row r="11" spans="1:19" s="230" customFormat="1" ht="13.5" customHeight="1">
      <c r="A11" s="226">
        <v>1</v>
      </c>
      <c r="B11" s="226">
        <v>2</v>
      </c>
      <c r="C11" s="226">
        <v>3</v>
      </c>
      <c r="D11" s="226">
        <v>4</v>
      </c>
      <c r="E11" s="226">
        <v>3</v>
      </c>
      <c r="F11" s="226">
        <v>4</v>
      </c>
      <c r="G11" s="227">
        <v>3</v>
      </c>
      <c r="H11" s="227">
        <v>4</v>
      </c>
      <c r="I11" s="227">
        <v>5</v>
      </c>
      <c r="J11" s="228">
        <v>6</v>
      </c>
      <c r="K11" s="227">
        <v>3</v>
      </c>
      <c r="L11" s="227">
        <v>4</v>
      </c>
      <c r="M11" s="227">
        <v>5</v>
      </c>
      <c r="N11" s="227">
        <v>6</v>
      </c>
      <c r="O11" s="227">
        <v>7</v>
      </c>
      <c r="P11" s="227">
        <v>8</v>
      </c>
      <c r="Q11" s="227">
        <v>9</v>
      </c>
      <c r="R11" s="229">
        <v>10</v>
      </c>
      <c r="S11" s="226">
        <v>5</v>
      </c>
    </row>
    <row r="12" spans="1:19" s="241" customFormat="1" ht="19.5" customHeight="1">
      <c r="A12" s="231">
        <v>1</v>
      </c>
      <c r="B12" s="232" t="s">
        <v>313</v>
      </c>
      <c r="C12" s="233">
        <f>E12+G12+I12</f>
        <v>138.92000000000002</v>
      </c>
      <c r="D12" s="234">
        <f>C12/$C$49*1000</f>
        <v>0.5910387766024886</v>
      </c>
      <c r="E12" s="235">
        <f>Додаток4!E12</f>
        <v>88.31</v>
      </c>
      <c r="F12" s="235">
        <f>Додаток4!F12</f>
        <v>0.4510375523620583</v>
      </c>
      <c r="G12" s="236">
        <f>G14+G17+G13+G23</f>
        <v>42.55</v>
      </c>
      <c r="H12" s="236">
        <f>G12/$G$49*1000</f>
        <v>1.2893536959300969</v>
      </c>
      <c r="I12" s="236">
        <f>I14+I17+I13+I23</f>
        <v>8.06</v>
      </c>
      <c r="J12" s="236">
        <f>I12/$I$49*1000</f>
        <v>1.2896495225416658</v>
      </c>
      <c r="K12" s="237">
        <v>281.63</v>
      </c>
      <c r="L12" s="238">
        <v>4.59</v>
      </c>
      <c r="M12" s="237">
        <v>239.72</v>
      </c>
      <c r="N12" s="238">
        <v>4.59</v>
      </c>
      <c r="O12" s="239">
        <v>33.24</v>
      </c>
      <c r="P12" s="238">
        <v>4.59</v>
      </c>
      <c r="Q12" s="239">
        <v>8.68</v>
      </c>
      <c r="R12" s="240">
        <v>4.59</v>
      </c>
      <c r="S12" s="235">
        <f>S14+S17+S13+S23</f>
        <v>829.4261828717513</v>
      </c>
    </row>
    <row r="13" spans="1:19" s="241" customFormat="1" ht="19.5" customHeight="1">
      <c r="A13" s="231" t="s">
        <v>314</v>
      </c>
      <c r="B13" s="232" t="s">
        <v>315</v>
      </c>
      <c r="C13" s="233">
        <f aca="true" t="shared" si="0" ref="C13:C47">E13+G13+I13</f>
        <v>0</v>
      </c>
      <c r="D13" s="234">
        <f>C13/$C$49*1000</f>
        <v>0</v>
      </c>
      <c r="E13" s="242">
        <f>Додаток4!E13</f>
        <v>0</v>
      </c>
      <c r="F13" s="242">
        <f>Додаток4!F13</f>
        <v>0</v>
      </c>
      <c r="G13" s="236">
        <f>'[2]Додаток4 скор'!O14</f>
        <v>0</v>
      </c>
      <c r="H13" s="236">
        <f>G13/$G$49*1000</f>
        <v>0</v>
      </c>
      <c r="I13" s="236">
        <f>'[2]Додаток4 скор'!T14</f>
        <v>0</v>
      </c>
      <c r="J13" s="236">
        <f>I13/$I$49*1000</f>
        <v>0</v>
      </c>
      <c r="K13" s="237">
        <v>0</v>
      </c>
      <c r="L13" s="238">
        <v>0</v>
      </c>
      <c r="M13" s="237">
        <v>0</v>
      </c>
      <c r="N13" s="238">
        <v>0</v>
      </c>
      <c r="O13" s="239">
        <v>0</v>
      </c>
      <c r="P13" s="238">
        <v>0</v>
      </c>
      <c r="Q13" s="239">
        <v>0</v>
      </c>
      <c r="R13" s="240">
        <v>0</v>
      </c>
      <c r="S13" s="243">
        <v>0</v>
      </c>
    </row>
    <row r="14" spans="1:19" s="241" customFormat="1" ht="19.5" customHeight="1">
      <c r="A14" s="231" t="s">
        <v>316</v>
      </c>
      <c r="B14" s="232" t="s">
        <v>317</v>
      </c>
      <c r="C14" s="233">
        <f t="shared" si="0"/>
        <v>106.80999999999999</v>
      </c>
      <c r="D14" s="234">
        <f>C14/$C$49*1000</f>
        <v>0.45442594103737255</v>
      </c>
      <c r="E14" s="235">
        <f>Додаток4!E14</f>
        <v>70.41</v>
      </c>
      <c r="F14" s="235">
        <f>Додаток4!F14</f>
        <v>0.3596144724472033</v>
      </c>
      <c r="G14" s="236">
        <f>'[2]Додаток4 скор'!O15</f>
        <v>30.6</v>
      </c>
      <c r="H14" s="236">
        <f>G14/$G$49*1000</f>
        <v>0.9272437860272847</v>
      </c>
      <c r="I14" s="236">
        <f>'[2]Додаток4 скор'!T15</f>
        <v>5.8</v>
      </c>
      <c r="J14" s="236">
        <f>I14/$I$49*1000</f>
        <v>0.9280356365684441</v>
      </c>
      <c r="K14" s="237">
        <v>199.1</v>
      </c>
      <c r="L14" s="238">
        <v>3.25</v>
      </c>
      <c r="M14" s="237">
        <v>169.46</v>
      </c>
      <c r="N14" s="238">
        <v>3.25</v>
      </c>
      <c r="O14" s="239">
        <v>23.5</v>
      </c>
      <c r="P14" s="238">
        <v>3.25</v>
      </c>
      <c r="Q14" s="239">
        <v>6.13</v>
      </c>
      <c r="R14" s="240">
        <v>3.25</v>
      </c>
      <c r="S14" s="244">
        <f>S57*S59*12/1000</f>
        <v>661.3056</v>
      </c>
    </row>
    <row r="15" spans="1:19" s="241" customFormat="1" ht="19.5" customHeight="1">
      <c r="A15" s="245" t="s">
        <v>318</v>
      </c>
      <c r="B15" s="246" t="s">
        <v>319</v>
      </c>
      <c r="C15" s="247"/>
      <c r="D15" s="248"/>
      <c r="E15" s="249" t="s">
        <v>35</v>
      </c>
      <c r="F15" s="249" t="s">
        <v>35</v>
      </c>
      <c r="G15" s="250"/>
      <c r="H15" s="250"/>
      <c r="I15" s="250"/>
      <c r="J15" s="250"/>
      <c r="K15" s="251"/>
      <c r="L15" s="252"/>
      <c r="M15" s="251"/>
      <c r="N15" s="252"/>
      <c r="O15" s="253"/>
      <c r="P15" s="252"/>
      <c r="Q15" s="253"/>
      <c r="R15" s="254"/>
      <c r="S15" s="255">
        <f>S59*S58*12/1000</f>
        <v>661.3056</v>
      </c>
    </row>
    <row r="16" spans="1:19" s="241" customFormat="1" ht="33.75" customHeight="1">
      <c r="A16" s="245" t="s">
        <v>320</v>
      </c>
      <c r="B16" s="246" t="s">
        <v>321</v>
      </c>
      <c r="C16" s="247"/>
      <c r="D16" s="248"/>
      <c r="E16" s="249" t="s">
        <v>35</v>
      </c>
      <c r="F16" s="249" t="s">
        <v>35</v>
      </c>
      <c r="G16" s="250"/>
      <c r="H16" s="250"/>
      <c r="I16" s="250"/>
      <c r="J16" s="250"/>
      <c r="K16" s="251"/>
      <c r="L16" s="252"/>
      <c r="M16" s="251"/>
      <c r="N16" s="252"/>
      <c r="O16" s="253"/>
      <c r="P16" s="252"/>
      <c r="Q16" s="253"/>
      <c r="R16" s="254"/>
      <c r="S16" s="255">
        <f>S14-S15</f>
        <v>0</v>
      </c>
    </row>
    <row r="17" spans="1:19" s="241" customFormat="1" ht="19.5" customHeight="1">
      <c r="A17" s="231" t="s">
        <v>322</v>
      </c>
      <c r="B17" s="232" t="s">
        <v>323</v>
      </c>
      <c r="C17" s="233">
        <f t="shared" si="0"/>
        <v>31.549999999999997</v>
      </c>
      <c r="D17" s="234">
        <f>C17/$C$49*1000</f>
        <v>0.1342303009056184</v>
      </c>
      <c r="E17" s="235">
        <f>Додаток4!E15</f>
        <v>17.9</v>
      </c>
      <c r="F17" s="235">
        <f>Додаток4!F15</f>
        <v>0.09142307991485496</v>
      </c>
      <c r="G17" s="236">
        <f>'[2]Додаток4 скор'!O16</f>
        <v>11.47</v>
      </c>
      <c r="H17" s="236">
        <f>G17/$G$49*1000</f>
        <v>0.34756490933767825</v>
      </c>
      <c r="I17" s="236">
        <f>'[2]Додаток4 скор'!T16</f>
        <v>2.18</v>
      </c>
      <c r="J17" s="236">
        <f>I17/$I$49*1000</f>
        <v>0.3488133944343463</v>
      </c>
      <c r="K17" s="237">
        <v>82.54</v>
      </c>
      <c r="L17" s="238">
        <v>1.35</v>
      </c>
      <c r="M17" s="237">
        <v>70.25</v>
      </c>
      <c r="N17" s="238">
        <v>1.35</v>
      </c>
      <c r="O17" s="239">
        <v>9.74</v>
      </c>
      <c r="P17" s="238">
        <v>1.35</v>
      </c>
      <c r="Q17" s="239">
        <v>2.54</v>
      </c>
      <c r="R17" s="240">
        <v>1.35</v>
      </c>
      <c r="S17" s="244">
        <f>S18+S21+S22</f>
        <v>168.1205828717512</v>
      </c>
    </row>
    <row r="18" spans="1:19" s="265" customFormat="1" ht="19.5" customHeight="1">
      <c r="A18" s="256" t="s">
        <v>324</v>
      </c>
      <c r="B18" s="257" t="s">
        <v>325</v>
      </c>
      <c r="C18" s="258">
        <f t="shared" si="0"/>
        <v>28.979999999999997</v>
      </c>
      <c r="D18" s="259">
        <f>C18/$C$49*1000</f>
        <v>0.12329616862899595</v>
      </c>
      <c r="E18" s="242">
        <f>Додаток4!E16</f>
        <v>15.49</v>
      </c>
      <c r="F18" s="242">
        <f>Додаток4!F16</f>
        <v>0.0791141624514583</v>
      </c>
      <c r="G18" s="260">
        <f>'[2]Додаток4 скор'!O17</f>
        <v>11.34</v>
      </c>
      <c r="H18" s="260">
        <f>G18/$G$49*1000</f>
        <v>0.3436256383512878</v>
      </c>
      <c r="I18" s="260">
        <f>'[2]Додаток4 скор'!T17</f>
        <v>2.15</v>
      </c>
      <c r="J18" s="260">
        <f>I18/$I$49*1000</f>
        <v>0.3440132101072681</v>
      </c>
      <c r="K18" s="261">
        <v>73.79</v>
      </c>
      <c r="L18" s="262">
        <v>1.2</v>
      </c>
      <c r="M18" s="261">
        <v>62.8</v>
      </c>
      <c r="N18" s="262">
        <v>1.2</v>
      </c>
      <c r="O18" s="263">
        <v>8.71</v>
      </c>
      <c r="P18" s="262">
        <v>1.2</v>
      </c>
      <c r="Q18" s="263">
        <v>2.27</v>
      </c>
      <c r="R18" s="264">
        <v>1.2</v>
      </c>
      <c r="S18" s="242">
        <f>E18/$E$14*$S$14</f>
        <v>145.4853535577333</v>
      </c>
    </row>
    <row r="19" spans="1:19" s="265" customFormat="1" ht="19.5" customHeight="1">
      <c r="A19" s="266" t="s">
        <v>326</v>
      </c>
      <c r="B19" s="267" t="s">
        <v>319</v>
      </c>
      <c r="C19" s="268"/>
      <c r="D19" s="269"/>
      <c r="E19" s="249" t="s">
        <v>35</v>
      </c>
      <c r="F19" s="249" t="s">
        <v>35</v>
      </c>
      <c r="G19" s="270"/>
      <c r="H19" s="270"/>
      <c r="I19" s="270"/>
      <c r="J19" s="270"/>
      <c r="K19" s="271"/>
      <c r="L19" s="272"/>
      <c r="M19" s="271"/>
      <c r="N19" s="272"/>
      <c r="O19" s="273"/>
      <c r="P19" s="272"/>
      <c r="Q19" s="273"/>
      <c r="R19" s="274"/>
      <c r="S19" s="275">
        <f>S18*S15/S14</f>
        <v>145.4853535577333</v>
      </c>
    </row>
    <row r="20" spans="1:19" s="265" customFormat="1" ht="27.75" customHeight="1">
      <c r="A20" s="266" t="s">
        <v>327</v>
      </c>
      <c r="B20" s="267" t="s">
        <v>321</v>
      </c>
      <c r="C20" s="268"/>
      <c r="D20" s="269"/>
      <c r="E20" s="249" t="s">
        <v>35</v>
      </c>
      <c r="F20" s="249" t="s">
        <v>35</v>
      </c>
      <c r="G20" s="270"/>
      <c r="H20" s="270"/>
      <c r="I20" s="270"/>
      <c r="J20" s="270"/>
      <c r="K20" s="271"/>
      <c r="L20" s="272"/>
      <c r="M20" s="271"/>
      <c r="N20" s="272"/>
      <c r="O20" s="273"/>
      <c r="P20" s="272"/>
      <c r="Q20" s="273"/>
      <c r="R20" s="274"/>
      <c r="S20" s="275">
        <f>S18*S16/S14</f>
        <v>0</v>
      </c>
    </row>
    <row r="21" spans="1:19" s="265" customFormat="1" ht="19.5" customHeight="1">
      <c r="A21" s="256" t="s">
        <v>328</v>
      </c>
      <c r="B21" s="257" t="s">
        <v>329</v>
      </c>
      <c r="C21" s="258">
        <f t="shared" si="0"/>
        <v>0.19</v>
      </c>
      <c r="D21" s="259">
        <f aca="true" t="shared" si="1" ref="D21:D37">C21/$C$49*1000</f>
        <v>0.0008083599737580824</v>
      </c>
      <c r="E21" s="242">
        <f>Додаток4!E17</f>
        <v>0.19</v>
      </c>
      <c r="F21" s="242">
        <f>Додаток4!F17</f>
        <v>0.0009704125801018126</v>
      </c>
      <c r="G21" s="260">
        <f>'[2]Додаток4 скор'!O18</f>
        <v>0</v>
      </c>
      <c r="H21" s="260">
        <f aca="true" t="shared" si="2" ref="H21:H37">G21/$G$49*1000</f>
        <v>0</v>
      </c>
      <c r="I21" s="260">
        <f>'[2]Додаток4 скор'!T18</f>
        <v>0</v>
      </c>
      <c r="J21" s="260">
        <f aca="true" t="shared" si="3" ref="J21:J37">I21/$I$49*1000</f>
        <v>0</v>
      </c>
      <c r="K21" s="261">
        <v>0.4</v>
      </c>
      <c r="L21" s="262">
        <v>0.01</v>
      </c>
      <c r="M21" s="261">
        <v>0.34</v>
      </c>
      <c r="N21" s="262">
        <v>0.01</v>
      </c>
      <c r="O21" s="263">
        <v>0.05</v>
      </c>
      <c r="P21" s="262">
        <v>0.01</v>
      </c>
      <c r="Q21" s="263">
        <v>0.01</v>
      </c>
      <c r="R21" s="264">
        <v>0.01</v>
      </c>
      <c r="S21" s="242">
        <f>E21/$E$14*$S$14</f>
        <v>1.7845201533873032</v>
      </c>
    </row>
    <row r="22" spans="1:19" s="265" customFormat="1" ht="19.5" customHeight="1">
      <c r="A22" s="256" t="s">
        <v>330</v>
      </c>
      <c r="B22" s="257" t="s">
        <v>331</v>
      </c>
      <c r="C22" s="258">
        <f t="shared" si="0"/>
        <v>2.38</v>
      </c>
      <c r="D22" s="259">
        <f t="shared" si="1"/>
        <v>0.010125772302864402</v>
      </c>
      <c r="E22" s="242">
        <f>Додаток4!E18</f>
        <v>2.22</v>
      </c>
      <c r="F22" s="242">
        <f>Додаток4!F18</f>
        <v>0.011338504883294864</v>
      </c>
      <c r="G22" s="260">
        <f>'[2]Додаток4 скор'!O19</f>
        <v>0.13</v>
      </c>
      <c r="H22" s="260">
        <f t="shared" si="2"/>
        <v>0.003939270986390425</v>
      </c>
      <c r="I22" s="260">
        <f>'[2]Додаток4 скор'!T19</f>
        <v>0.03</v>
      </c>
      <c r="J22" s="260">
        <f t="shared" si="3"/>
        <v>0.00480018432707816</v>
      </c>
      <c r="K22" s="261">
        <v>8.35</v>
      </c>
      <c r="L22" s="262">
        <v>0.14</v>
      </c>
      <c r="M22" s="261">
        <v>7.11</v>
      </c>
      <c r="N22" s="262">
        <v>0.14</v>
      </c>
      <c r="O22" s="263">
        <v>0.99</v>
      </c>
      <c r="P22" s="262">
        <v>0.14</v>
      </c>
      <c r="Q22" s="263">
        <v>0.26</v>
      </c>
      <c r="R22" s="264">
        <v>0.14</v>
      </c>
      <c r="S22" s="242">
        <f>E22/$E$14*$S$14</f>
        <v>20.850709160630597</v>
      </c>
    </row>
    <row r="23" spans="1:19" s="241" customFormat="1" ht="19.5" customHeight="1">
      <c r="A23" s="231" t="s">
        <v>332</v>
      </c>
      <c r="B23" s="232" t="s">
        <v>333</v>
      </c>
      <c r="C23" s="233">
        <f t="shared" si="0"/>
        <v>0.56</v>
      </c>
      <c r="D23" s="234">
        <f t="shared" si="1"/>
        <v>0.0023825346594975065</v>
      </c>
      <c r="E23" s="235">
        <f>Додаток4!E19</f>
        <v>0</v>
      </c>
      <c r="F23" s="235">
        <f>Додаток4!F19</f>
        <v>0</v>
      </c>
      <c r="G23" s="236">
        <f>SUM(G24:G26)</f>
        <v>0.48000000000000004</v>
      </c>
      <c r="H23" s="236">
        <f t="shared" si="2"/>
        <v>0.014545000565133878</v>
      </c>
      <c r="I23" s="236">
        <f>SUM(I24:I26)</f>
        <v>0.08</v>
      </c>
      <c r="J23" s="236">
        <f t="shared" si="3"/>
        <v>0.012800491538875093</v>
      </c>
      <c r="K23" s="237">
        <v>0</v>
      </c>
      <c r="L23" s="238">
        <v>0</v>
      </c>
      <c r="M23" s="237">
        <v>0</v>
      </c>
      <c r="N23" s="238">
        <v>0</v>
      </c>
      <c r="O23" s="239">
        <v>0</v>
      </c>
      <c r="P23" s="238">
        <v>0</v>
      </c>
      <c r="Q23" s="239">
        <v>0</v>
      </c>
      <c r="R23" s="240">
        <v>0</v>
      </c>
      <c r="S23" s="244">
        <f>S24+S25+S26</f>
        <v>0</v>
      </c>
    </row>
    <row r="24" spans="1:19" s="265" customFormat="1" ht="19.5" customHeight="1">
      <c r="A24" s="256" t="s">
        <v>334</v>
      </c>
      <c r="B24" s="257" t="s">
        <v>201</v>
      </c>
      <c r="C24" s="258">
        <f t="shared" si="0"/>
        <v>0.4</v>
      </c>
      <c r="D24" s="259">
        <f t="shared" si="1"/>
        <v>0.0017018104710696475</v>
      </c>
      <c r="E24" s="242">
        <f>Додаток4!E20</f>
        <v>0</v>
      </c>
      <c r="F24" s="242">
        <f>Додаток4!F20</f>
        <v>0</v>
      </c>
      <c r="G24" s="260">
        <f>'[2]Додаток4 скор'!O21</f>
        <v>0.34</v>
      </c>
      <c r="H24" s="260">
        <f t="shared" si="2"/>
        <v>0.010302708733636496</v>
      </c>
      <c r="I24" s="260">
        <f>'[2]Додаток4 скор'!T21</f>
        <v>0.06</v>
      </c>
      <c r="J24" s="260">
        <f t="shared" si="3"/>
        <v>0.00960036865415632</v>
      </c>
      <c r="K24" s="261">
        <v>0</v>
      </c>
      <c r="L24" s="262">
        <v>0</v>
      </c>
      <c r="M24" s="261">
        <v>0</v>
      </c>
      <c r="N24" s="262">
        <v>0</v>
      </c>
      <c r="O24" s="263">
        <v>0</v>
      </c>
      <c r="P24" s="262">
        <v>0</v>
      </c>
      <c r="Q24" s="263">
        <v>0</v>
      </c>
      <c r="R24" s="264">
        <v>0</v>
      </c>
      <c r="S24" s="242">
        <f>E24/$E$14*$S$14</f>
        <v>0</v>
      </c>
    </row>
    <row r="25" spans="1:19" s="265" customFormat="1" ht="19.5" customHeight="1">
      <c r="A25" s="256" t="s">
        <v>335</v>
      </c>
      <c r="B25" s="257" t="s">
        <v>203</v>
      </c>
      <c r="C25" s="258">
        <f t="shared" si="0"/>
        <v>0.15</v>
      </c>
      <c r="D25" s="259">
        <f t="shared" si="1"/>
        <v>0.0006381789266511177</v>
      </c>
      <c r="E25" s="242">
        <f>Додаток4!E21</f>
        <v>0</v>
      </c>
      <c r="F25" s="242">
        <f>Додаток4!F21</f>
        <v>0</v>
      </c>
      <c r="G25" s="260">
        <f>'[2]Додаток4 скор'!O22</f>
        <v>0.13</v>
      </c>
      <c r="H25" s="260">
        <f t="shared" si="2"/>
        <v>0.003939270986390425</v>
      </c>
      <c r="I25" s="260">
        <f>'[2]Додаток4 скор'!T22</f>
        <v>0.02</v>
      </c>
      <c r="J25" s="260">
        <f t="shared" si="3"/>
        <v>0.003200122884718773</v>
      </c>
      <c r="K25" s="261">
        <v>0</v>
      </c>
      <c r="L25" s="262">
        <v>0</v>
      </c>
      <c r="M25" s="261">
        <v>0</v>
      </c>
      <c r="N25" s="262">
        <v>0</v>
      </c>
      <c r="O25" s="263">
        <v>0</v>
      </c>
      <c r="P25" s="262">
        <v>0</v>
      </c>
      <c r="Q25" s="263">
        <v>0</v>
      </c>
      <c r="R25" s="264">
        <v>0</v>
      </c>
      <c r="S25" s="242">
        <f aca="true" t="shared" si="4" ref="S25:S36">E25/$E$14*$S$14</f>
        <v>0</v>
      </c>
    </row>
    <row r="26" spans="1:19" s="265" customFormat="1" ht="19.5" customHeight="1">
      <c r="A26" s="256" t="s">
        <v>336</v>
      </c>
      <c r="B26" s="257" t="s">
        <v>337</v>
      </c>
      <c r="C26" s="258">
        <f t="shared" si="0"/>
        <v>0.01</v>
      </c>
      <c r="D26" s="259">
        <f t="shared" si="1"/>
        <v>4.254526177674119E-05</v>
      </c>
      <c r="E26" s="242">
        <f>Додаток4!E22</f>
        <v>0</v>
      </c>
      <c r="F26" s="242">
        <f>Додаток4!F22</f>
        <v>0</v>
      </c>
      <c r="G26" s="260">
        <f>'[2]Додаток4 скор'!O23</f>
        <v>0.01</v>
      </c>
      <c r="H26" s="260">
        <f t="shared" si="2"/>
        <v>0.00030302084510695575</v>
      </c>
      <c r="I26" s="260">
        <f>'[2]Додаток4 скор'!T23</f>
        <v>0</v>
      </c>
      <c r="J26" s="260">
        <f t="shared" si="3"/>
        <v>0</v>
      </c>
      <c r="K26" s="261">
        <v>0</v>
      </c>
      <c r="L26" s="262">
        <v>0</v>
      </c>
      <c r="M26" s="261">
        <v>0</v>
      </c>
      <c r="N26" s="262">
        <v>0</v>
      </c>
      <c r="O26" s="263">
        <v>0</v>
      </c>
      <c r="P26" s="262">
        <v>0</v>
      </c>
      <c r="Q26" s="263">
        <v>0</v>
      </c>
      <c r="R26" s="264">
        <v>0</v>
      </c>
      <c r="S26" s="242">
        <f t="shared" si="4"/>
        <v>0</v>
      </c>
    </row>
    <row r="27" spans="1:19" s="241" customFormat="1" ht="19.5" customHeight="1">
      <c r="A27" s="231">
        <v>2</v>
      </c>
      <c r="B27" s="232" t="s">
        <v>338</v>
      </c>
      <c r="C27" s="233">
        <f t="shared" si="0"/>
        <v>10.969999999999999</v>
      </c>
      <c r="D27" s="234">
        <f t="shared" si="1"/>
        <v>0.046672152169085074</v>
      </c>
      <c r="E27" s="235">
        <f>Додаток4!E23</f>
        <v>9.85</v>
      </c>
      <c r="F27" s="235">
        <f>Додаток4!F23</f>
        <v>0.05030823112633081</v>
      </c>
      <c r="G27" s="236">
        <f>SUM(G28:G30)</f>
        <v>0.95</v>
      </c>
      <c r="H27" s="236">
        <f t="shared" si="2"/>
        <v>0.028786980285160798</v>
      </c>
      <c r="I27" s="236">
        <f>SUM(I28:I30)</f>
        <v>0.16999999999999998</v>
      </c>
      <c r="J27" s="236">
        <f t="shared" si="3"/>
        <v>0.02720104452010957</v>
      </c>
      <c r="K27" s="237">
        <v>14.28</v>
      </c>
      <c r="L27" s="238">
        <v>0.23</v>
      </c>
      <c r="M27" s="237">
        <v>12.16</v>
      </c>
      <c r="N27" s="238">
        <v>0.23</v>
      </c>
      <c r="O27" s="239">
        <v>1.69</v>
      </c>
      <c r="P27" s="238">
        <v>0.23</v>
      </c>
      <c r="Q27" s="239">
        <v>0.44</v>
      </c>
      <c r="R27" s="240">
        <v>0.23</v>
      </c>
      <c r="S27" s="244">
        <f>S28+S29+S30</f>
        <v>92.51328163613124</v>
      </c>
    </row>
    <row r="28" spans="1:19" s="265" customFormat="1" ht="19.5" customHeight="1">
      <c r="A28" s="256" t="s">
        <v>339</v>
      </c>
      <c r="B28" s="257" t="s">
        <v>201</v>
      </c>
      <c r="C28" s="258">
        <f t="shared" si="0"/>
        <v>1.9200000000000002</v>
      </c>
      <c r="D28" s="259">
        <f t="shared" si="1"/>
        <v>0.008168690261134308</v>
      </c>
      <c r="E28" s="242">
        <f>Додаток4!E24</f>
        <v>1.21</v>
      </c>
      <c r="F28" s="242">
        <f>Додаток4!F24</f>
        <v>0.0061799959048589115</v>
      </c>
      <c r="G28" s="260">
        <f>'[2]Додаток4 скор'!O25</f>
        <v>0.6</v>
      </c>
      <c r="H28" s="260">
        <f t="shared" si="2"/>
        <v>0.018181250706417344</v>
      </c>
      <c r="I28" s="260">
        <f>'[2]Додаток4 скор'!T25</f>
        <v>0.11</v>
      </c>
      <c r="J28" s="260">
        <f t="shared" si="3"/>
        <v>0.017600675865953253</v>
      </c>
      <c r="K28" s="261">
        <v>8.81</v>
      </c>
      <c r="L28" s="262">
        <v>0.14</v>
      </c>
      <c r="M28" s="261">
        <v>7.5</v>
      </c>
      <c r="N28" s="262">
        <v>0.14</v>
      </c>
      <c r="O28" s="263">
        <v>1.04</v>
      </c>
      <c r="P28" s="262">
        <v>0.14</v>
      </c>
      <c r="Q28" s="263">
        <v>0.27</v>
      </c>
      <c r="R28" s="264">
        <v>0.14</v>
      </c>
      <c r="S28" s="242">
        <f t="shared" si="4"/>
        <v>11.364575713677034</v>
      </c>
    </row>
    <row r="29" spans="1:19" s="265" customFormat="1" ht="19.5" customHeight="1">
      <c r="A29" s="256" t="s">
        <v>340</v>
      </c>
      <c r="B29" s="257" t="s">
        <v>203</v>
      </c>
      <c r="C29" s="258">
        <f t="shared" si="0"/>
        <v>0.53</v>
      </c>
      <c r="D29" s="259">
        <f t="shared" si="1"/>
        <v>0.002254898874167283</v>
      </c>
      <c r="E29" s="242">
        <f>Додаток4!E25</f>
        <v>0.27</v>
      </c>
      <c r="F29" s="242">
        <f>Додаток4!F25</f>
        <v>0.0013790073506709968</v>
      </c>
      <c r="G29" s="260">
        <f>'[2]Додаток4 скор'!O26</f>
        <v>0.22</v>
      </c>
      <c r="H29" s="260">
        <f t="shared" si="2"/>
        <v>0.006666458592353027</v>
      </c>
      <c r="I29" s="260">
        <f>'[2]Додаток4 скор'!T26</f>
        <v>0.04</v>
      </c>
      <c r="J29" s="260">
        <f t="shared" si="3"/>
        <v>0.006400245769437546</v>
      </c>
      <c r="K29" s="261">
        <v>3.27</v>
      </c>
      <c r="L29" s="262">
        <v>0.05</v>
      </c>
      <c r="M29" s="261">
        <v>2.78</v>
      </c>
      <c r="N29" s="262">
        <v>0.05</v>
      </c>
      <c r="O29" s="263">
        <v>0.39</v>
      </c>
      <c r="P29" s="262">
        <v>0.05</v>
      </c>
      <c r="Q29" s="263">
        <v>0.1</v>
      </c>
      <c r="R29" s="264">
        <v>0.05</v>
      </c>
      <c r="S29" s="242">
        <f t="shared" si="4"/>
        <v>2.535897060076694</v>
      </c>
    </row>
    <row r="30" spans="1:19" s="265" customFormat="1" ht="19.5" customHeight="1">
      <c r="A30" s="256" t="s">
        <v>341</v>
      </c>
      <c r="B30" s="257" t="s">
        <v>337</v>
      </c>
      <c r="C30" s="258">
        <f t="shared" si="0"/>
        <v>8.52</v>
      </c>
      <c r="D30" s="259">
        <f t="shared" si="1"/>
        <v>0.03624856303378349</v>
      </c>
      <c r="E30" s="242">
        <f>Додаток4!E26</f>
        <v>8.37</v>
      </c>
      <c r="F30" s="242">
        <f>Додаток4!F26</f>
        <v>0.0427492278708009</v>
      </c>
      <c r="G30" s="260">
        <f>'[2]Додаток4 скор'!O27</f>
        <v>0.13</v>
      </c>
      <c r="H30" s="260">
        <f t="shared" si="2"/>
        <v>0.003939270986390425</v>
      </c>
      <c r="I30" s="260">
        <f>'[2]Додаток4 скор'!T27</f>
        <v>0.02</v>
      </c>
      <c r="J30" s="260">
        <f t="shared" si="3"/>
        <v>0.003200122884718773</v>
      </c>
      <c r="K30" s="261">
        <v>2.2</v>
      </c>
      <c r="L30" s="262">
        <v>0.04</v>
      </c>
      <c r="M30" s="261">
        <v>1.87</v>
      </c>
      <c r="N30" s="262">
        <v>0.04</v>
      </c>
      <c r="O30" s="263">
        <v>0.26</v>
      </c>
      <c r="P30" s="262">
        <v>0.04</v>
      </c>
      <c r="Q30" s="263">
        <v>0.07</v>
      </c>
      <c r="R30" s="264">
        <v>0.04</v>
      </c>
      <c r="S30" s="242">
        <f t="shared" si="4"/>
        <v>78.6128088623775</v>
      </c>
    </row>
    <row r="31" spans="1:19" s="241" customFormat="1" ht="19.5" customHeight="1">
      <c r="A31" s="231">
        <v>3</v>
      </c>
      <c r="B31" s="232" t="s">
        <v>342</v>
      </c>
      <c r="C31" s="233">
        <f t="shared" si="0"/>
        <v>0</v>
      </c>
      <c r="D31" s="234">
        <f t="shared" si="1"/>
        <v>0</v>
      </c>
      <c r="E31" s="242">
        <f>Додаток4!E27</f>
        <v>0</v>
      </c>
      <c r="F31" s="242">
        <f>Додаток4!F27</f>
        <v>0</v>
      </c>
      <c r="G31" s="276">
        <f>SUM(G32:G34)</f>
        <v>0</v>
      </c>
      <c r="H31" s="236">
        <f t="shared" si="2"/>
        <v>0</v>
      </c>
      <c r="I31" s="276">
        <f>SUM(I32:I34)</f>
        <v>0</v>
      </c>
      <c r="J31" s="236">
        <f t="shared" si="3"/>
        <v>0</v>
      </c>
      <c r="K31" s="237">
        <v>0</v>
      </c>
      <c r="L31" s="238">
        <v>0</v>
      </c>
      <c r="M31" s="237">
        <v>0</v>
      </c>
      <c r="N31" s="238">
        <v>0</v>
      </c>
      <c r="O31" s="239">
        <v>0</v>
      </c>
      <c r="P31" s="238">
        <v>0</v>
      </c>
      <c r="Q31" s="239">
        <v>0</v>
      </c>
      <c r="R31" s="240">
        <v>0</v>
      </c>
      <c r="S31" s="242">
        <f t="shared" si="4"/>
        <v>0</v>
      </c>
    </row>
    <row r="32" spans="1:19" s="279" customFormat="1" ht="18" customHeight="1" hidden="1">
      <c r="A32" s="277" t="s">
        <v>343</v>
      </c>
      <c r="B32" s="232" t="s">
        <v>201</v>
      </c>
      <c r="C32" s="233">
        <f t="shared" si="0"/>
        <v>0</v>
      </c>
      <c r="D32" s="234">
        <f t="shared" si="1"/>
        <v>0</v>
      </c>
      <c r="E32" s="242">
        <f>Додаток4!E28</f>
        <v>0</v>
      </c>
      <c r="F32" s="242">
        <f>Додаток4!F28</f>
        <v>0</v>
      </c>
      <c r="G32" s="278">
        <v>0</v>
      </c>
      <c r="H32" s="236">
        <f t="shared" si="2"/>
        <v>0</v>
      </c>
      <c r="I32" s="278">
        <v>0</v>
      </c>
      <c r="J32" s="236">
        <f t="shared" si="3"/>
        <v>0</v>
      </c>
      <c r="K32" s="237">
        <v>0</v>
      </c>
      <c r="L32" s="238">
        <v>0</v>
      </c>
      <c r="M32" s="237">
        <v>0</v>
      </c>
      <c r="N32" s="238">
        <v>0</v>
      </c>
      <c r="O32" s="239">
        <v>0</v>
      </c>
      <c r="P32" s="238">
        <v>0</v>
      </c>
      <c r="Q32" s="239">
        <v>0</v>
      </c>
      <c r="R32" s="240">
        <v>0</v>
      </c>
      <c r="S32" s="242">
        <f t="shared" si="4"/>
        <v>0</v>
      </c>
    </row>
    <row r="33" spans="1:19" s="279" customFormat="1" ht="18" customHeight="1" hidden="1">
      <c r="A33" s="277" t="s">
        <v>344</v>
      </c>
      <c r="B33" s="232" t="s">
        <v>203</v>
      </c>
      <c r="C33" s="233">
        <f t="shared" si="0"/>
        <v>0</v>
      </c>
      <c r="D33" s="234">
        <f t="shared" si="1"/>
        <v>0</v>
      </c>
      <c r="E33" s="242">
        <f>Додаток4!E29</f>
        <v>0</v>
      </c>
      <c r="F33" s="242">
        <f>Додаток4!F29</f>
        <v>0</v>
      </c>
      <c r="G33" s="278">
        <v>0</v>
      </c>
      <c r="H33" s="236">
        <f t="shared" si="2"/>
        <v>0</v>
      </c>
      <c r="I33" s="278">
        <v>0</v>
      </c>
      <c r="J33" s="236">
        <f t="shared" si="3"/>
        <v>0</v>
      </c>
      <c r="K33" s="237">
        <v>0</v>
      </c>
      <c r="L33" s="238">
        <v>0</v>
      </c>
      <c r="M33" s="237">
        <v>0</v>
      </c>
      <c r="N33" s="238">
        <v>0</v>
      </c>
      <c r="O33" s="239">
        <v>0</v>
      </c>
      <c r="P33" s="238">
        <v>0</v>
      </c>
      <c r="Q33" s="239">
        <v>0</v>
      </c>
      <c r="R33" s="240">
        <v>0</v>
      </c>
      <c r="S33" s="242">
        <f t="shared" si="4"/>
        <v>0</v>
      </c>
    </row>
    <row r="34" spans="1:19" s="279" customFormat="1" ht="18" customHeight="1" hidden="1">
      <c r="A34" s="277" t="s">
        <v>345</v>
      </c>
      <c r="B34" s="232" t="s">
        <v>337</v>
      </c>
      <c r="C34" s="233">
        <f t="shared" si="0"/>
        <v>0</v>
      </c>
      <c r="D34" s="234">
        <f t="shared" si="1"/>
        <v>0</v>
      </c>
      <c r="E34" s="242">
        <f>Додаток4!E30</f>
        <v>0</v>
      </c>
      <c r="F34" s="242">
        <f>Додаток4!F30</f>
        <v>0</v>
      </c>
      <c r="G34" s="278">
        <v>0</v>
      </c>
      <c r="H34" s="236">
        <f t="shared" si="2"/>
        <v>0</v>
      </c>
      <c r="I34" s="278">
        <v>0</v>
      </c>
      <c r="J34" s="236">
        <f t="shared" si="3"/>
        <v>0</v>
      </c>
      <c r="K34" s="237">
        <v>0</v>
      </c>
      <c r="L34" s="238">
        <v>0</v>
      </c>
      <c r="M34" s="237">
        <v>0</v>
      </c>
      <c r="N34" s="238">
        <v>0</v>
      </c>
      <c r="O34" s="239">
        <v>0</v>
      </c>
      <c r="P34" s="238">
        <v>0</v>
      </c>
      <c r="Q34" s="239">
        <v>0</v>
      </c>
      <c r="R34" s="240">
        <v>0</v>
      </c>
      <c r="S34" s="242">
        <f t="shared" si="4"/>
        <v>0</v>
      </c>
    </row>
    <row r="35" spans="1:19" s="241" customFormat="1" ht="19.5" customHeight="1">
      <c r="A35" s="231">
        <v>4</v>
      </c>
      <c r="B35" s="232" t="s">
        <v>346</v>
      </c>
      <c r="C35" s="233">
        <f t="shared" si="0"/>
        <v>0</v>
      </c>
      <c r="D35" s="234">
        <f t="shared" si="1"/>
        <v>0</v>
      </c>
      <c r="E35" s="242">
        <f>Додаток4!E31</f>
        <v>0</v>
      </c>
      <c r="F35" s="242">
        <f>Додаток4!F31</f>
        <v>0</v>
      </c>
      <c r="G35" s="236">
        <f>'[2]Додаток4 скор'!O32</f>
        <v>0</v>
      </c>
      <c r="H35" s="236">
        <f t="shared" si="2"/>
        <v>0</v>
      </c>
      <c r="I35" s="236">
        <f>'[2]Додаток4 скор'!T32</f>
        <v>0</v>
      </c>
      <c r="J35" s="236">
        <f t="shared" si="3"/>
        <v>0</v>
      </c>
      <c r="K35" s="237">
        <v>0</v>
      </c>
      <c r="L35" s="238">
        <v>0</v>
      </c>
      <c r="M35" s="237">
        <v>0</v>
      </c>
      <c r="N35" s="238">
        <v>0</v>
      </c>
      <c r="O35" s="239">
        <v>0</v>
      </c>
      <c r="P35" s="238">
        <v>0</v>
      </c>
      <c r="Q35" s="239">
        <v>0</v>
      </c>
      <c r="R35" s="240">
        <v>0</v>
      </c>
      <c r="S35" s="242">
        <f t="shared" si="4"/>
        <v>0</v>
      </c>
    </row>
    <row r="36" spans="1:19" s="241" customFormat="1" ht="19.5" customHeight="1">
      <c r="A36" s="231">
        <v>5</v>
      </c>
      <c r="B36" s="232" t="s">
        <v>347</v>
      </c>
      <c r="C36" s="233">
        <f t="shared" si="0"/>
        <v>0</v>
      </c>
      <c r="D36" s="234">
        <f t="shared" si="1"/>
        <v>0</v>
      </c>
      <c r="E36" s="242">
        <f>Додаток4!E32</f>
        <v>0</v>
      </c>
      <c r="F36" s="242">
        <f>Додаток4!F32</f>
        <v>0</v>
      </c>
      <c r="G36" s="236">
        <f>'[2]Додаток4 скор'!O33</f>
        <v>0</v>
      </c>
      <c r="H36" s="236">
        <f t="shared" si="2"/>
        <v>0</v>
      </c>
      <c r="I36" s="236">
        <f>'[2]Додаток4 скор'!T33</f>
        <v>0</v>
      </c>
      <c r="J36" s="236">
        <f t="shared" si="3"/>
        <v>0</v>
      </c>
      <c r="K36" s="237">
        <v>0</v>
      </c>
      <c r="L36" s="238">
        <v>0</v>
      </c>
      <c r="M36" s="237">
        <v>0</v>
      </c>
      <c r="N36" s="238">
        <v>0</v>
      </c>
      <c r="O36" s="239">
        <v>0</v>
      </c>
      <c r="P36" s="238">
        <v>0</v>
      </c>
      <c r="Q36" s="239">
        <v>0</v>
      </c>
      <c r="R36" s="240">
        <v>0</v>
      </c>
      <c r="S36" s="242">
        <f t="shared" si="4"/>
        <v>0</v>
      </c>
    </row>
    <row r="37" spans="1:19" s="241" customFormat="1" ht="19.5" customHeight="1">
      <c r="A37" s="231">
        <v>6</v>
      </c>
      <c r="B37" s="232" t="s">
        <v>348</v>
      </c>
      <c r="C37" s="233">
        <f t="shared" si="0"/>
        <v>149.89</v>
      </c>
      <c r="D37" s="234">
        <f t="shared" si="1"/>
        <v>0.6377109287715735</v>
      </c>
      <c r="E37" s="235">
        <f>Додаток4!E33</f>
        <v>98.16</v>
      </c>
      <c r="F37" s="235">
        <f>Додаток4!F33</f>
        <v>0.501345783488389</v>
      </c>
      <c r="G37" s="236">
        <f>G27+G12</f>
        <v>43.5</v>
      </c>
      <c r="H37" s="236">
        <f t="shared" si="2"/>
        <v>1.3181406762152577</v>
      </c>
      <c r="I37" s="236">
        <f>I27+I12</f>
        <v>8.23</v>
      </c>
      <c r="J37" s="236">
        <f t="shared" si="3"/>
        <v>1.3168505670617752</v>
      </c>
      <c r="K37" s="237">
        <v>295.91</v>
      </c>
      <c r="L37" s="238">
        <v>4.83</v>
      </c>
      <c r="M37" s="237">
        <v>251.87</v>
      </c>
      <c r="N37" s="238">
        <v>4.83</v>
      </c>
      <c r="O37" s="239">
        <v>34.92</v>
      </c>
      <c r="P37" s="238">
        <v>4.83</v>
      </c>
      <c r="Q37" s="239">
        <v>9.12</v>
      </c>
      <c r="R37" s="240">
        <v>4.83</v>
      </c>
      <c r="S37" s="235">
        <f>S27+S12</f>
        <v>921.9394645078826</v>
      </c>
    </row>
    <row r="38" spans="1:19" s="241" customFormat="1" ht="31.5">
      <c r="A38" s="245" t="s">
        <v>349</v>
      </c>
      <c r="B38" s="246" t="s">
        <v>350</v>
      </c>
      <c r="C38" s="247"/>
      <c r="D38" s="248"/>
      <c r="E38" s="249" t="s">
        <v>35</v>
      </c>
      <c r="F38" s="249" t="s">
        <v>35</v>
      </c>
      <c r="G38" s="250"/>
      <c r="H38" s="250"/>
      <c r="I38" s="250"/>
      <c r="J38" s="250"/>
      <c r="K38" s="251"/>
      <c r="L38" s="252"/>
      <c r="M38" s="251"/>
      <c r="N38" s="252"/>
      <c r="O38" s="253"/>
      <c r="P38" s="252"/>
      <c r="Q38" s="253"/>
      <c r="R38" s="254"/>
      <c r="S38" s="280">
        <f>S37-S15-S19</f>
        <v>115.14851095014924</v>
      </c>
    </row>
    <row r="39" spans="1:19" s="241" customFormat="1" ht="19.5" customHeight="1">
      <c r="A39" s="245" t="s">
        <v>351</v>
      </c>
      <c r="B39" s="246" t="s">
        <v>352</v>
      </c>
      <c r="C39" s="247"/>
      <c r="D39" s="248"/>
      <c r="E39" s="249" t="s">
        <v>35</v>
      </c>
      <c r="F39" s="249" t="s">
        <v>35</v>
      </c>
      <c r="G39" s="250"/>
      <c r="H39" s="250"/>
      <c r="I39" s="250"/>
      <c r="J39" s="250"/>
      <c r="K39" s="251"/>
      <c r="L39" s="252"/>
      <c r="M39" s="251"/>
      <c r="N39" s="252"/>
      <c r="O39" s="253"/>
      <c r="P39" s="252"/>
      <c r="Q39" s="253"/>
      <c r="R39" s="254"/>
      <c r="S39" s="243">
        <f>S38-S23-S27</f>
        <v>22.635229314018005</v>
      </c>
    </row>
    <row r="40" spans="1:19" s="241" customFormat="1" ht="19.5" customHeight="1">
      <c r="A40" s="245" t="s">
        <v>353</v>
      </c>
      <c r="B40" s="246" t="s">
        <v>354</v>
      </c>
      <c r="C40" s="247"/>
      <c r="D40" s="248"/>
      <c r="E40" s="249" t="s">
        <v>35</v>
      </c>
      <c r="F40" s="249" t="s">
        <v>35</v>
      </c>
      <c r="G40" s="250"/>
      <c r="H40" s="250"/>
      <c r="I40" s="250"/>
      <c r="J40" s="250"/>
      <c r="K40" s="251"/>
      <c r="L40" s="252"/>
      <c r="M40" s="251"/>
      <c r="N40" s="252"/>
      <c r="O40" s="253"/>
      <c r="P40" s="252"/>
      <c r="Q40" s="253"/>
      <c r="R40" s="254"/>
      <c r="S40" s="280">
        <f>S38-S39</f>
        <v>92.51328163613124</v>
      </c>
    </row>
    <row r="41" spans="1:19" s="241" customFormat="1" ht="19.5" customHeight="1">
      <c r="A41" s="231">
        <v>7</v>
      </c>
      <c r="B41" s="232" t="s">
        <v>355</v>
      </c>
      <c r="C41" s="233">
        <f t="shared" si="0"/>
        <v>9.521503819140893</v>
      </c>
      <c r="D41" s="234">
        <f aca="true" t="shared" si="5" ref="D41:D46">C41/$C$49*1000</f>
        <v>0.04050948724935902</v>
      </c>
      <c r="E41" s="235">
        <f>Додаток4!E34</f>
        <v>0</v>
      </c>
      <c r="F41" s="235">
        <f>Додаток4!F34</f>
        <v>0</v>
      </c>
      <c r="G41" s="236">
        <f>SUM(G42:G46)</f>
        <v>8.28847078258636</v>
      </c>
      <c r="H41" s="236">
        <f aca="true" t="shared" si="6" ref="H41:H46">G41/$G$49*1000</f>
        <v>0.251157942118363</v>
      </c>
      <c r="I41" s="236">
        <f>SUM(I42:I46)</f>
        <v>1.2330330365545317</v>
      </c>
      <c r="J41" s="236">
        <f aca="true" t="shared" si="7" ref="J41:J46">I41/$I$49*1000</f>
        <v>0.1972928618946218</v>
      </c>
      <c r="K41" s="237">
        <v>0</v>
      </c>
      <c r="L41" s="238">
        <v>0</v>
      </c>
      <c r="M41" s="237">
        <v>0</v>
      </c>
      <c r="N41" s="238">
        <v>0</v>
      </c>
      <c r="O41" s="239">
        <v>0</v>
      </c>
      <c r="P41" s="238">
        <v>0</v>
      </c>
      <c r="Q41" s="239">
        <v>0</v>
      </c>
      <c r="R41" s="240">
        <v>0</v>
      </c>
      <c r="S41" s="281" t="s">
        <v>35</v>
      </c>
    </row>
    <row r="42" spans="1:19" s="265" customFormat="1" ht="19.5" customHeight="1">
      <c r="A42" s="256" t="s">
        <v>356</v>
      </c>
      <c r="B42" s="257" t="s">
        <v>357</v>
      </c>
      <c r="C42" s="258">
        <f t="shared" si="0"/>
        <v>0</v>
      </c>
      <c r="D42" s="259">
        <f t="shared" si="5"/>
        <v>0</v>
      </c>
      <c r="E42" s="242">
        <f>Додаток4!E35</f>
        <v>0</v>
      </c>
      <c r="F42" s="242">
        <f>Додаток4!F35</f>
        <v>0</v>
      </c>
      <c r="G42" s="260">
        <f>'[2]Додаток4 скор'!O36</f>
        <v>0</v>
      </c>
      <c r="H42" s="260">
        <f t="shared" si="6"/>
        <v>0</v>
      </c>
      <c r="I42" s="260">
        <f>'[2]Додаток4 скор'!T36</f>
        <v>0</v>
      </c>
      <c r="J42" s="260">
        <f t="shared" si="7"/>
        <v>0</v>
      </c>
      <c r="K42" s="261">
        <v>0</v>
      </c>
      <c r="L42" s="282">
        <v>0</v>
      </c>
      <c r="M42" s="261">
        <v>0</v>
      </c>
      <c r="N42" s="262">
        <v>0</v>
      </c>
      <c r="O42" s="263">
        <v>0</v>
      </c>
      <c r="P42" s="262">
        <v>0</v>
      </c>
      <c r="Q42" s="263">
        <v>0</v>
      </c>
      <c r="R42" s="264">
        <v>0</v>
      </c>
      <c r="S42" s="281" t="s">
        <v>35</v>
      </c>
    </row>
    <row r="43" spans="1:19" s="265" customFormat="1" ht="18" customHeight="1" hidden="1">
      <c r="A43" s="256" t="s">
        <v>358</v>
      </c>
      <c r="B43" s="257" t="s">
        <v>359</v>
      </c>
      <c r="C43" s="258">
        <f t="shared" si="0"/>
        <v>0</v>
      </c>
      <c r="D43" s="259">
        <f t="shared" si="5"/>
        <v>0</v>
      </c>
      <c r="E43" s="242">
        <f>Додаток4!E36</f>
        <v>0</v>
      </c>
      <c r="F43" s="242">
        <f>Додаток4!F36</f>
        <v>0</v>
      </c>
      <c r="G43" s="260">
        <f>'[2]Додаток4 скор'!O37</f>
        <v>0</v>
      </c>
      <c r="H43" s="260">
        <f t="shared" si="6"/>
        <v>0</v>
      </c>
      <c r="I43" s="260">
        <f>'[2]Додаток4 скор'!T37</f>
        <v>0</v>
      </c>
      <c r="J43" s="260">
        <f t="shared" si="7"/>
        <v>0</v>
      </c>
      <c r="K43" s="261">
        <v>0</v>
      </c>
      <c r="L43" s="282">
        <v>0</v>
      </c>
      <c r="M43" s="261">
        <v>0</v>
      </c>
      <c r="N43" s="262">
        <v>0</v>
      </c>
      <c r="O43" s="263">
        <v>0</v>
      </c>
      <c r="P43" s="262">
        <v>0</v>
      </c>
      <c r="Q43" s="263">
        <v>0</v>
      </c>
      <c r="R43" s="264">
        <v>0</v>
      </c>
      <c r="S43" s="281" t="s">
        <v>35</v>
      </c>
    </row>
    <row r="44" spans="1:19" s="265" customFormat="1" ht="19.5" customHeight="1">
      <c r="A44" s="256" t="s">
        <v>358</v>
      </c>
      <c r="B44" s="257" t="str">
        <f>'[2]Додаток3'!B42</f>
        <v>резервний фонд (капітал) та дивіденди </v>
      </c>
      <c r="C44" s="258">
        <f t="shared" si="0"/>
        <v>0</v>
      </c>
      <c r="D44" s="259">
        <f t="shared" si="5"/>
        <v>0</v>
      </c>
      <c r="E44" s="242">
        <f>Додаток4!E37</f>
        <v>0</v>
      </c>
      <c r="F44" s="242">
        <f>Додаток4!F37</f>
        <v>0</v>
      </c>
      <c r="G44" s="260">
        <f>'[2]Додаток4 скор'!O38</f>
        <v>0</v>
      </c>
      <c r="H44" s="260">
        <f t="shared" si="6"/>
        <v>0</v>
      </c>
      <c r="I44" s="260">
        <f>'[2]Додаток4 скор'!T38</f>
        <v>0</v>
      </c>
      <c r="J44" s="260">
        <f t="shared" si="7"/>
        <v>0</v>
      </c>
      <c r="K44" s="261">
        <v>0</v>
      </c>
      <c r="L44" s="282">
        <v>0</v>
      </c>
      <c r="M44" s="261">
        <v>0</v>
      </c>
      <c r="N44" s="262">
        <v>0</v>
      </c>
      <c r="O44" s="263">
        <v>0</v>
      </c>
      <c r="P44" s="262">
        <v>0</v>
      </c>
      <c r="Q44" s="263">
        <v>0</v>
      </c>
      <c r="R44" s="264">
        <v>0</v>
      </c>
      <c r="S44" s="281" t="s">
        <v>35</v>
      </c>
    </row>
    <row r="45" spans="1:19" s="265" customFormat="1" ht="19.5" customHeight="1">
      <c r="A45" s="256" t="s">
        <v>360</v>
      </c>
      <c r="B45" s="257" t="s">
        <v>361</v>
      </c>
      <c r="C45" s="258">
        <f t="shared" si="0"/>
        <v>9.521503819140893</v>
      </c>
      <c r="D45" s="259">
        <f t="shared" si="5"/>
        <v>0.04050948724935902</v>
      </c>
      <c r="E45" s="242">
        <f>Додаток4!E38</f>
        <v>0</v>
      </c>
      <c r="F45" s="242">
        <f>Додаток4!F38</f>
        <v>0</v>
      </c>
      <c r="G45" s="260">
        <f>'[2]Додаток4 скор'!O39</f>
        <v>8.28847078258636</v>
      </c>
      <c r="H45" s="260">
        <f t="shared" si="6"/>
        <v>0.251157942118363</v>
      </c>
      <c r="I45" s="260">
        <f>'[2]Додаток4 скор'!T39</f>
        <v>1.2330330365545317</v>
      </c>
      <c r="J45" s="260">
        <f t="shared" si="7"/>
        <v>0.1972928618946218</v>
      </c>
      <c r="K45" s="261">
        <v>0</v>
      </c>
      <c r="L45" s="262">
        <v>0</v>
      </c>
      <c r="M45" s="261">
        <v>0</v>
      </c>
      <c r="N45" s="262">
        <v>0</v>
      </c>
      <c r="O45" s="263">
        <v>0</v>
      </c>
      <c r="P45" s="262">
        <v>0</v>
      </c>
      <c r="Q45" s="263">
        <v>0</v>
      </c>
      <c r="R45" s="264">
        <v>0</v>
      </c>
      <c r="S45" s="281" t="s">
        <v>35</v>
      </c>
    </row>
    <row r="46" spans="1:19" s="265" customFormat="1" ht="19.5" customHeight="1">
      <c r="A46" s="256" t="s">
        <v>362</v>
      </c>
      <c r="B46" s="257" t="s">
        <v>363</v>
      </c>
      <c r="C46" s="258">
        <f t="shared" si="0"/>
        <v>0</v>
      </c>
      <c r="D46" s="259">
        <f t="shared" si="5"/>
        <v>0</v>
      </c>
      <c r="E46" s="242">
        <f>Додаток4!E39</f>
        <v>0</v>
      </c>
      <c r="F46" s="242">
        <f>Додаток4!F39</f>
        <v>0</v>
      </c>
      <c r="G46" s="260">
        <f>'[2]Додаток4 скор'!O40</f>
        <v>0</v>
      </c>
      <c r="H46" s="260">
        <f t="shared" si="6"/>
        <v>0</v>
      </c>
      <c r="I46" s="260">
        <f>'[2]Додаток4 скор'!T40</f>
        <v>0</v>
      </c>
      <c r="J46" s="260">
        <f t="shared" si="7"/>
        <v>0</v>
      </c>
      <c r="K46" s="261">
        <v>0</v>
      </c>
      <c r="L46" s="262">
        <v>0</v>
      </c>
      <c r="M46" s="261">
        <v>0</v>
      </c>
      <c r="N46" s="262">
        <v>0</v>
      </c>
      <c r="O46" s="263">
        <v>0</v>
      </c>
      <c r="P46" s="262">
        <v>0</v>
      </c>
      <c r="Q46" s="263">
        <v>0</v>
      </c>
      <c r="R46" s="264">
        <v>0</v>
      </c>
      <c r="S46" s="281" t="s">
        <v>35</v>
      </c>
    </row>
    <row r="47" spans="1:19" s="241" customFormat="1" ht="34.5" customHeight="1">
      <c r="A47" s="231">
        <v>8</v>
      </c>
      <c r="B47" s="232" t="s">
        <v>364</v>
      </c>
      <c r="C47" s="233">
        <f t="shared" si="0"/>
        <v>159.41150381914088</v>
      </c>
      <c r="D47" s="234">
        <f>D37+D41</f>
        <v>0.6782204160209325</v>
      </c>
      <c r="E47" s="235">
        <f>Додаток4!E40</f>
        <v>98.16</v>
      </c>
      <c r="F47" s="235">
        <f>Додаток4!F40</f>
        <v>0.501345783488389</v>
      </c>
      <c r="G47" s="236">
        <f>G41+G37</f>
        <v>51.78847078258636</v>
      </c>
      <c r="H47" s="236">
        <f>H37+H41</f>
        <v>1.5692986183336206</v>
      </c>
      <c r="I47" s="236">
        <f>I41+I37</f>
        <v>9.463033036554531</v>
      </c>
      <c r="J47" s="236">
        <f>ROUNDUP(J37+J41,2)</f>
        <v>1.52</v>
      </c>
      <c r="K47" s="237">
        <v>295.91</v>
      </c>
      <c r="L47" s="238">
        <v>4.83</v>
      </c>
      <c r="M47" s="237">
        <v>251.87</v>
      </c>
      <c r="N47" s="238">
        <v>4.83</v>
      </c>
      <c r="O47" s="239">
        <v>34.92</v>
      </c>
      <c r="P47" s="238">
        <v>4.83</v>
      </c>
      <c r="Q47" s="239">
        <v>9.12</v>
      </c>
      <c r="R47" s="240">
        <v>4.83</v>
      </c>
      <c r="S47" s="281" t="s">
        <v>35</v>
      </c>
    </row>
    <row r="48" spans="1:21" s="241" customFormat="1" ht="19.5" customHeight="1">
      <c r="A48" s="231">
        <v>9</v>
      </c>
      <c r="B48" s="232" t="s">
        <v>365</v>
      </c>
      <c r="C48" s="233"/>
      <c r="D48" s="233">
        <f>D47</f>
        <v>0.6782204160209325</v>
      </c>
      <c r="E48" s="235">
        <f>Додаток4!E41</f>
        <v>0</v>
      </c>
      <c r="F48" s="235">
        <f>Додаток4!F41</f>
        <v>0.501345783488389</v>
      </c>
      <c r="G48" s="276"/>
      <c r="H48" s="276">
        <f>H47</f>
        <v>1.5692986183336206</v>
      </c>
      <c r="I48" s="276"/>
      <c r="J48" s="276">
        <f>J47</f>
        <v>1.52</v>
      </c>
      <c r="K48" s="276">
        <v>4.83</v>
      </c>
      <c r="L48" s="276">
        <v>4.83</v>
      </c>
      <c r="M48" s="276">
        <v>4.83</v>
      </c>
      <c r="N48" s="276">
        <v>4.83</v>
      </c>
      <c r="O48" s="276">
        <v>4.83</v>
      </c>
      <c r="P48" s="276">
        <v>4.83</v>
      </c>
      <c r="Q48" s="276">
        <v>4.83</v>
      </c>
      <c r="R48" s="283">
        <v>4.83</v>
      </c>
      <c r="S48" s="281" t="s">
        <v>35</v>
      </c>
      <c r="T48" s="284"/>
      <c r="U48" s="241" t="s">
        <v>366</v>
      </c>
    </row>
    <row r="49" spans="1:21" s="241" customFormat="1" ht="32.25" customHeight="1">
      <c r="A49" s="231">
        <v>10</v>
      </c>
      <c r="B49" s="232" t="s">
        <v>367</v>
      </c>
      <c r="C49" s="233">
        <f>E49+G49+I49</f>
        <v>235043.80000000002</v>
      </c>
      <c r="D49" s="233"/>
      <c r="E49" s="235">
        <f>Додаток4!E42</f>
        <v>195793.01</v>
      </c>
      <c r="F49" s="235">
        <f>Додаток4!F42</f>
        <v>0</v>
      </c>
      <c r="G49" s="276">
        <f>'[2]Додаток2 скор'!M56</f>
        <v>33001.03</v>
      </c>
      <c r="H49" s="236"/>
      <c r="I49" s="276">
        <f>'[2]Додаток2 скор'!R56</f>
        <v>6249.76</v>
      </c>
      <c r="J49" s="236"/>
      <c r="S49" s="235">
        <f>E49-S52+S53</f>
        <v>195793.01</v>
      </c>
      <c r="U49" s="285">
        <f>собіварт!C30</f>
        <v>165935.64057882427</v>
      </c>
    </row>
    <row r="50" spans="1:19" s="279" customFormat="1" ht="19.5" customHeight="1" hidden="1">
      <c r="A50" s="277" t="s">
        <v>368</v>
      </c>
      <c r="B50" s="232" t="s">
        <v>369</v>
      </c>
      <c r="C50" s="286"/>
      <c r="D50" s="286"/>
      <c r="E50" s="287"/>
      <c r="F50" s="287"/>
      <c r="G50" s="288"/>
      <c r="H50" s="288"/>
      <c r="I50" s="288"/>
      <c r="J50" s="289"/>
      <c r="S50" s="281" t="s">
        <v>35</v>
      </c>
    </row>
    <row r="51" spans="1:19" s="279" customFormat="1" ht="15.75" customHeight="1" hidden="1">
      <c r="A51" s="277" t="s">
        <v>368</v>
      </c>
      <c r="B51" s="290" t="s">
        <v>370</v>
      </c>
      <c r="C51" s="291"/>
      <c r="D51" s="291"/>
      <c r="E51" s="292"/>
      <c r="F51" s="292"/>
      <c r="H51" s="293"/>
      <c r="I51" s="293"/>
      <c r="J51" s="294"/>
      <c r="S51" s="295" t="s">
        <v>35</v>
      </c>
    </row>
    <row r="52" spans="1:21" s="298" customFormat="1" ht="30" customHeight="1">
      <c r="A52" s="245">
        <v>11</v>
      </c>
      <c r="B52" s="246" t="s">
        <v>371</v>
      </c>
      <c r="C52" s="296"/>
      <c r="D52" s="296"/>
      <c r="E52" s="249" t="s">
        <v>35</v>
      </c>
      <c r="F52" s="249" t="s">
        <v>35</v>
      </c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43"/>
      <c r="U52" s="432">
        <f>-(S49-U49)/S49</f>
        <v>-0.1524945626055585</v>
      </c>
    </row>
    <row r="53" spans="1:19" s="298" customFormat="1" ht="31.5">
      <c r="A53" s="245">
        <v>12</v>
      </c>
      <c r="B53" s="246" t="s">
        <v>372</v>
      </c>
      <c r="C53" s="299"/>
      <c r="D53" s="299"/>
      <c r="E53" s="249" t="s">
        <v>35</v>
      </c>
      <c r="F53" s="249" t="s">
        <v>35</v>
      </c>
      <c r="G53" s="300"/>
      <c r="H53" s="300"/>
      <c r="I53" s="300"/>
      <c r="J53" s="300"/>
      <c r="K53" s="301"/>
      <c r="L53" s="301"/>
      <c r="M53" s="301"/>
      <c r="N53" s="301"/>
      <c r="O53" s="301"/>
      <c r="P53" s="301"/>
      <c r="Q53" s="301"/>
      <c r="R53" s="301"/>
      <c r="S53" s="243"/>
    </row>
    <row r="54" spans="1:19" s="279" customFormat="1" ht="19.5" customHeight="1">
      <c r="A54" s="302">
        <v>13</v>
      </c>
      <c r="B54" s="303" t="s">
        <v>373</v>
      </c>
      <c r="C54" s="304">
        <f>C41/C37*100</f>
        <v>6.3523275863238995</v>
      </c>
      <c r="D54" s="304">
        <f aca="true" t="shared" si="8" ref="D54:J54">D41/D37*100</f>
        <v>6.3523275863238995</v>
      </c>
      <c r="E54" s="305">
        <f>Додаток4!E48</f>
        <v>0</v>
      </c>
      <c r="F54" s="305">
        <f>Додаток4!F48</f>
        <v>0</v>
      </c>
      <c r="G54" s="304">
        <f>G41/G37*100</f>
        <v>19.05395582203761</v>
      </c>
      <c r="H54" s="304">
        <f t="shared" si="8"/>
        <v>19.05395582203761</v>
      </c>
      <c r="I54" s="304">
        <f>I41/I37*100</f>
        <v>14.982175413785317</v>
      </c>
      <c r="J54" s="304">
        <f t="shared" si="8"/>
        <v>14.982175413785317</v>
      </c>
      <c r="S54" s="306" t="s">
        <v>35</v>
      </c>
    </row>
    <row r="55" spans="1:19" ht="10.5" customHeight="1" hidden="1">
      <c r="A55" s="216"/>
      <c r="B55" s="216"/>
      <c r="C55" s="216"/>
      <c r="D55" s="216"/>
      <c r="E55" s="216"/>
      <c r="F55" s="216"/>
      <c r="G55" s="216"/>
      <c r="H55" s="216"/>
      <c r="I55" s="216"/>
      <c r="S55" s="307"/>
    </row>
    <row r="56" spans="1:19" ht="24.75" customHeight="1" hidden="1">
      <c r="A56" s="216"/>
      <c r="B56" s="216"/>
      <c r="C56" s="216"/>
      <c r="D56" s="216"/>
      <c r="E56" s="216"/>
      <c r="F56" s="216"/>
      <c r="G56" s="216"/>
      <c r="H56" s="216"/>
      <c r="I56" s="216"/>
      <c r="S56" s="307"/>
    </row>
    <row r="57" spans="1:19" ht="24.75" customHeight="1">
      <c r="A57" s="308">
        <v>14</v>
      </c>
      <c r="B57" s="267" t="s">
        <v>374</v>
      </c>
      <c r="C57" s="309"/>
      <c r="D57" s="309"/>
      <c r="E57" s="310">
        <f>E14*1000/12/E59</f>
        <v>0.8731398809523809</v>
      </c>
      <c r="F57" s="309"/>
      <c r="G57" s="309"/>
      <c r="H57" s="309"/>
      <c r="I57" s="309"/>
      <c r="J57" s="311"/>
      <c r="K57" s="311"/>
      <c r="L57" s="311"/>
      <c r="M57" s="311"/>
      <c r="N57" s="311"/>
      <c r="O57" s="311"/>
      <c r="P57" s="311"/>
      <c r="Q57" s="311"/>
      <c r="R57" s="312"/>
      <c r="S57" s="310">
        <v>9</v>
      </c>
    </row>
    <row r="58" spans="1:19" ht="24.75" customHeight="1">
      <c r="A58" s="308">
        <v>15</v>
      </c>
      <c r="B58" s="267" t="s">
        <v>375</v>
      </c>
      <c r="C58" s="309"/>
      <c r="D58" s="309"/>
      <c r="E58" s="313"/>
      <c r="F58" s="309"/>
      <c r="G58" s="309"/>
      <c r="H58" s="309"/>
      <c r="I58" s="309"/>
      <c r="J58" s="311"/>
      <c r="K58" s="311"/>
      <c r="L58" s="311"/>
      <c r="M58" s="311"/>
      <c r="N58" s="311"/>
      <c r="O58" s="311"/>
      <c r="P58" s="311"/>
      <c r="Q58" s="311"/>
      <c r="R58" s="312"/>
      <c r="S58" s="310">
        <v>9</v>
      </c>
    </row>
    <row r="59" spans="1:19" ht="24.75" customHeight="1">
      <c r="A59" s="308">
        <v>16</v>
      </c>
      <c r="B59" s="267" t="s">
        <v>376</v>
      </c>
      <c r="C59" s="309"/>
      <c r="D59" s="309"/>
      <c r="E59" s="433">
        <v>6720</v>
      </c>
      <c r="F59" s="309"/>
      <c r="G59" s="309"/>
      <c r="H59" s="309"/>
      <c r="I59" s="309"/>
      <c r="J59" s="311"/>
      <c r="K59" s="311"/>
      <c r="L59" s="311"/>
      <c r="M59" s="311"/>
      <c r="N59" s="311"/>
      <c r="O59" s="311"/>
      <c r="P59" s="311"/>
      <c r="Q59" s="311"/>
      <c r="R59" s="312"/>
      <c r="S59" s="433">
        <v>6123.2</v>
      </c>
    </row>
    <row r="60" ht="24.75" customHeight="1">
      <c r="A60" s="216"/>
    </row>
    <row r="61" spans="1:19" ht="24.75" customHeight="1">
      <c r="A61" s="216"/>
      <c r="B61" s="356" t="s">
        <v>38</v>
      </c>
      <c r="C61" s="216"/>
      <c r="D61" s="216"/>
      <c r="E61" s="314" t="s">
        <v>387</v>
      </c>
      <c r="F61" s="216"/>
      <c r="G61" s="216"/>
      <c r="H61" s="216"/>
      <c r="I61" s="216"/>
      <c r="S61" s="315" t="s">
        <v>400</v>
      </c>
    </row>
    <row r="62" spans="1:19" s="318" customFormat="1" ht="18.75" customHeight="1">
      <c r="A62" s="616"/>
      <c r="B62" s="616"/>
      <c r="C62" s="316"/>
      <c r="D62" s="316"/>
      <c r="E62" s="358" t="s">
        <v>123</v>
      </c>
      <c r="F62" s="357"/>
      <c r="G62" s="357"/>
      <c r="H62" s="317"/>
      <c r="I62" s="317"/>
      <c r="J62" s="317"/>
      <c r="S62" s="359" t="s">
        <v>41</v>
      </c>
    </row>
    <row r="63" spans="1:9" ht="20.25">
      <c r="A63" s="319"/>
      <c r="B63" s="216"/>
      <c r="C63" s="216"/>
      <c r="D63" s="216"/>
      <c r="E63" s="216"/>
      <c r="F63" s="216"/>
      <c r="G63" s="216"/>
      <c r="H63" s="612"/>
      <c r="I63" s="612"/>
    </row>
    <row r="64" spans="1:9" ht="12.75">
      <c r="A64" s="216"/>
      <c r="B64" s="216"/>
      <c r="C64" s="216"/>
      <c r="D64" s="216"/>
      <c r="E64" s="216"/>
      <c r="F64" s="216"/>
      <c r="G64" s="216"/>
      <c r="H64" s="216"/>
      <c r="I64" s="216"/>
    </row>
    <row r="65" spans="1:19" ht="20.25">
      <c r="A65" s="319"/>
      <c r="B65" s="319"/>
      <c r="C65" s="319"/>
      <c r="D65" s="319"/>
      <c r="E65" s="319"/>
      <c r="F65" s="319"/>
      <c r="G65" s="319"/>
      <c r="H65" s="319"/>
      <c r="I65" s="319"/>
      <c r="J65" s="320"/>
      <c r="K65" s="320"/>
      <c r="L65" s="320"/>
      <c r="O65" s="320"/>
      <c r="P65" s="320"/>
      <c r="Q65" s="320"/>
      <c r="R65" s="320"/>
      <c r="S65" s="320"/>
    </row>
    <row r="66" spans="1:9" ht="12.75">
      <c r="A66" s="216"/>
      <c r="B66" s="216"/>
      <c r="C66" s="216"/>
      <c r="D66" s="216"/>
      <c r="E66" s="216"/>
      <c r="F66" s="216"/>
      <c r="G66" s="216"/>
      <c r="H66" s="216"/>
      <c r="I66" s="216"/>
    </row>
  </sheetData>
  <sheetProtection/>
  <protectedRanges>
    <protectedRange sqref="S13 S52:S53 S57:S59 E59 S39" name="Диапазон1"/>
  </protectedRanges>
  <mergeCells count="23">
    <mergeCell ref="H63:I63"/>
    <mergeCell ref="A6:S6"/>
    <mergeCell ref="I9:J9"/>
    <mergeCell ref="K9:L9"/>
    <mergeCell ref="M9:N9"/>
    <mergeCell ref="O9:P9"/>
    <mergeCell ref="Q9:R9"/>
    <mergeCell ref="A62:B62"/>
    <mergeCell ref="A7:S7"/>
    <mergeCell ref="E4:F4"/>
    <mergeCell ref="G4:J4"/>
    <mergeCell ref="F8:G8"/>
    <mergeCell ref="A9:A10"/>
    <mergeCell ref="B9:B10"/>
    <mergeCell ref="C9:D9"/>
    <mergeCell ref="E9:F9"/>
    <mergeCell ref="G9:H9"/>
    <mergeCell ref="E3:F3"/>
    <mergeCell ref="G3:J3"/>
    <mergeCell ref="E1:F1"/>
    <mergeCell ref="G1:J1"/>
    <mergeCell ref="E2:F2"/>
    <mergeCell ref="G2:J2"/>
  </mergeCells>
  <printOptions horizontalCentered="1"/>
  <pageMargins left="0" right="0" top="0" bottom="0" header="0" footer="0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S55"/>
  <sheetViews>
    <sheetView view="pageBreakPreview" zoomScale="75" zoomScaleSheetLayoutView="75" zoomScalePageLayoutView="0" workbookViewId="0" topLeftCell="A1">
      <pane xSplit="2" ySplit="11" topLeftCell="C12" activePane="bottomRight" state="frozen"/>
      <selection pane="topLeft" activeCell="C48" sqref="C48:J48"/>
      <selection pane="topRight" activeCell="C48" sqref="C48:J48"/>
      <selection pane="bottomLeft" activeCell="C48" sqref="C48:J48"/>
      <selection pane="bottomRight" activeCell="E27" sqref="E27"/>
    </sheetView>
  </sheetViews>
  <sheetFormatPr defaultColWidth="11.57421875" defaultRowHeight="15"/>
  <cols>
    <col min="1" max="1" width="7.28125" style="437" customWidth="1"/>
    <col min="2" max="2" width="42.8515625" style="437" customWidth="1"/>
    <col min="3" max="3" width="12.00390625" style="437" customWidth="1"/>
    <col min="4" max="4" width="10.421875" style="437" customWidth="1"/>
    <col min="5" max="5" width="11.7109375" style="437" customWidth="1"/>
    <col min="6" max="10" width="10.421875" style="437" customWidth="1"/>
    <col min="11" max="18" width="11.57421875" style="437" hidden="1" customWidth="1"/>
    <col min="19" max="19" width="7.00390625" style="437" customWidth="1"/>
    <col min="20" max="16384" width="11.57421875" style="437" customWidth="1"/>
  </cols>
  <sheetData>
    <row r="1" spans="3:9" ht="17.25" customHeight="1">
      <c r="C1" s="438"/>
      <c r="D1" s="439"/>
      <c r="E1" s="439"/>
      <c r="F1" s="440" t="s">
        <v>298</v>
      </c>
      <c r="G1" s="440"/>
      <c r="H1" s="440"/>
      <c r="I1" s="440"/>
    </row>
    <row r="2" spans="3:9" ht="17.25" customHeight="1">
      <c r="C2" s="438"/>
      <c r="D2" s="439"/>
      <c r="E2" s="439"/>
      <c r="F2" s="441" t="str">
        <f>'[3]Додаток1'!F2</f>
        <v>до постанови Національної комісії, що здійснює</v>
      </c>
      <c r="G2" s="441"/>
      <c r="H2" s="441"/>
      <c r="I2" s="441"/>
    </row>
    <row r="3" spans="1:19" ht="17.25" customHeight="1">
      <c r="A3" s="442"/>
      <c r="B3" s="442"/>
      <c r="C3" s="443"/>
      <c r="D3" s="444"/>
      <c r="E3" s="444"/>
      <c r="F3" s="441" t="str">
        <f>'[3]Додаток1'!F3</f>
        <v>державне регулювання у сфері комунальних послуг </v>
      </c>
      <c r="G3" s="441"/>
      <c r="H3" s="441"/>
      <c r="I3" s="441"/>
      <c r="K3" s="442"/>
      <c r="L3" s="442"/>
      <c r="M3" s="442"/>
      <c r="N3" s="442"/>
      <c r="O3" s="442"/>
      <c r="P3" s="442"/>
      <c r="Q3" s="442"/>
      <c r="R3" s="442"/>
      <c r="S3" s="442"/>
    </row>
    <row r="4" spans="3:9" ht="17.25" customHeight="1">
      <c r="C4" s="438"/>
      <c r="D4" s="439"/>
      <c r="E4" s="439"/>
      <c r="F4" s="441" t="s">
        <v>299</v>
      </c>
      <c r="G4" s="441"/>
      <c r="H4" s="441"/>
      <c r="I4" s="441"/>
    </row>
    <row r="5" spans="1:19" ht="18.75" customHeight="1">
      <c r="A5" s="445"/>
      <c r="B5" s="446"/>
      <c r="C5" s="447"/>
      <c r="D5" s="448"/>
      <c r="E5" s="448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</row>
    <row r="6" spans="1:10" ht="20.25">
      <c r="A6" s="618" t="s">
        <v>393</v>
      </c>
      <c r="B6" s="618"/>
      <c r="C6" s="618"/>
      <c r="D6" s="618"/>
      <c r="E6" s="618"/>
      <c r="F6" s="618"/>
      <c r="G6" s="618"/>
      <c r="H6" s="618"/>
      <c r="I6" s="618"/>
      <c r="J6" s="618"/>
    </row>
    <row r="7" spans="1:11" ht="18.75" customHeight="1">
      <c r="A7" s="618" t="str">
        <f>'[3]Додаток1'!A7</f>
        <v>КУЗНЄЦОВСЬКОГО МІСЬКОГО КОМУНАЛЬНОГО ПІДПРИЄМСТВА</v>
      </c>
      <c r="B7" s="618"/>
      <c r="C7" s="618"/>
      <c r="D7" s="619"/>
      <c r="E7" s="619"/>
      <c r="F7" s="619"/>
      <c r="G7" s="619"/>
      <c r="H7" s="619"/>
      <c r="I7" s="619"/>
      <c r="J7" s="619"/>
      <c r="K7" s="450"/>
    </row>
    <row r="8" spans="1:10" ht="18.75">
      <c r="A8" s="451"/>
      <c r="B8" s="624"/>
      <c r="C8" s="624"/>
      <c r="D8" s="624"/>
      <c r="E8" s="624"/>
      <c r="F8" s="624"/>
      <c r="G8" s="624"/>
      <c r="H8" s="624"/>
      <c r="J8" s="452" t="s">
        <v>300</v>
      </c>
    </row>
    <row r="9" spans="1:18" ht="58.5" customHeight="1">
      <c r="A9" s="620" t="s">
        <v>301</v>
      </c>
      <c r="B9" s="620" t="s">
        <v>302</v>
      </c>
      <c r="C9" s="622" t="s">
        <v>394</v>
      </c>
      <c r="D9" s="623"/>
      <c r="E9" s="622" t="s">
        <v>304</v>
      </c>
      <c r="F9" s="623"/>
      <c r="G9" s="622" t="s">
        <v>305</v>
      </c>
      <c r="H9" s="623"/>
      <c r="I9" s="622" t="s">
        <v>306</v>
      </c>
      <c r="J9" s="623"/>
      <c r="K9" s="625" t="s">
        <v>307</v>
      </c>
      <c r="L9" s="626"/>
      <c r="M9" s="625" t="s">
        <v>304</v>
      </c>
      <c r="N9" s="626"/>
      <c r="O9" s="625" t="s">
        <v>308</v>
      </c>
      <c r="P9" s="626"/>
      <c r="Q9" s="625" t="s">
        <v>309</v>
      </c>
      <c r="R9" s="626"/>
    </row>
    <row r="10" spans="1:18" ht="42" customHeight="1">
      <c r="A10" s="621"/>
      <c r="B10" s="621"/>
      <c r="C10" s="453" t="s">
        <v>395</v>
      </c>
      <c r="D10" s="453" t="s">
        <v>295</v>
      </c>
      <c r="E10" s="453" t="s">
        <v>395</v>
      </c>
      <c r="F10" s="453" t="s">
        <v>295</v>
      </c>
      <c r="G10" s="453" t="s">
        <v>395</v>
      </c>
      <c r="H10" s="453" t="s">
        <v>295</v>
      </c>
      <c r="I10" s="453" t="s">
        <v>395</v>
      </c>
      <c r="J10" s="453" t="s">
        <v>295</v>
      </c>
      <c r="K10" s="453" t="s">
        <v>312</v>
      </c>
      <c r="L10" s="453" t="s">
        <v>295</v>
      </c>
      <c r="M10" s="453" t="s">
        <v>312</v>
      </c>
      <c r="N10" s="453" t="s">
        <v>295</v>
      </c>
      <c r="O10" s="453" t="s">
        <v>312</v>
      </c>
      <c r="P10" s="453" t="s">
        <v>295</v>
      </c>
      <c r="Q10" s="453" t="s">
        <v>312</v>
      </c>
      <c r="R10" s="453" t="s">
        <v>295</v>
      </c>
    </row>
    <row r="11" spans="1:18" ht="13.5" customHeight="1">
      <c r="A11" s="454">
        <v>1</v>
      </c>
      <c r="B11" s="454">
        <v>2</v>
      </c>
      <c r="C11" s="454">
        <v>3</v>
      </c>
      <c r="D11" s="454">
        <v>4</v>
      </c>
      <c r="E11" s="454">
        <v>5</v>
      </c>
      <c r="F11" s="454">
        <v>6</v>
      </c>
      <c r="G11" s="454">
        <v>7</v>
      </c>
      <c r="H11" s="454">
        <v>8</v>
      </c>
      <c r="I11" s="454">
        <v>9</v>
      </c>
      <c r="J11" s="454">
        <v>10</v>
      </c>
      <c r="K11" s="454">
        <v>3</v>
      </c>
      <c r="L11" s="454">
        <v>4</v>
      </c>
      <c r="M11" s="454">
        <v>5</v>
      </c>
      <c r="N11" s="454">
        <v>6</v>
      </c>
      <c r="O11" s="454">
        <v>7</v>
      </c>
      <c r="P11" s="454">
        <v>8</v>
      </c>
      <c r="Q11" s="454">
        <v>9</v>
      </c>
      <c r="R11" s="455">
        <v>10</v>
      </c>
    </row>
    <row r="12" spans="1:19" s="464" customFormat="1" ht="18" customHeight="1">
      <c r="A12" s="456">
        <v>1</v>
      </c>
      <c r="B12" s="457" t="s">
        <v>313</v>
      </c>
      <c r="C12" s="458">
        <f>E12+G12+I12</f>
        <v>98.51367088882384</v>
      </c>
      <c r="D12" s="459">
        <f>C12/$C$42*1000</f>
        <v>0.40862009390580145</v>
      </c>
      <c r="E12" s="458">
        <f>E14+E15+E13+E19</f>
        <v>88.31</v>
      </c>
      <c r="F12" s="459">
        <f>E12/$E$42*1000</f>
        <v>0.4510375523620583</v>
      </c>
      <c r="G12" s="459">
        <f>G14+G15+G13+G19</f>
        <v>3.9442704863118028</v>
      </c>
      <c r="H12" s="459">
        <f>G12/$G$42*1000</f>
        <v>0.22471722759387325</v>
      </c>
      <c r="I12" s="459">
        <f>I14+I15+I13+I19</f>
        <v>6.259400402512021</v>
      </c>
      <c r="J12" s="459">
        <f>I12/$I$42*1000</f>
        <v>0.22561682565328892</v>
      </c>
      <c r="K12" s="460">
        <v>281.63</v>
      </c>
      <c r="L12" s="461">
        <v>4.59</v>
      </c>
      <c r="M12" s="460">
        <v>239.72</v>
      </c>
      <c r="N12" s="461">
        <v>4.59</v>
      </c>
      <c r="O12" s="462">
        <v>33.24</v>
      </c>
      <c r="P12" s="461">
        <v>4.59</v>
      </c>
      <c r="Q12" s="462">
        <v>8.68</v>
      </c>
      <c r="R12" s="461">
        <v>4.59</v>
      </c>
      <c r="S12" s="463"/>
    </row>
    <row r="13" spans="1:19" s="464" customFormat="1" ht="15.75">
      <c r="A13" s="456" t="s">
        <v>314</v>
      </c>
      <c r="B13" s="457" t="s">
        <v>315</v>
      </c>
      <c r="C13" s="458">
        <f aca="true" t="shared" si="0" ref="C13:C40">E13+G13+I13</f>
        <v>0.0169949549803887</v>
      </c>
      <c r="D13" s="459">
        <f aca="true" t="shared" si="1" ref="D13:D39">C13/$C$42*1000</f>
        <v>7.049255232655365E-05</v>
      </c>
      <c r="E13" s="458">
        <v>0</v>
      </c>
      <c r="F13" s="459">
        <f aca="true" t="shared" si="2" ref="F13:F39">E13/$E$42*1000</f>
        <v>0</v>
      </c>
      <c r="G13" s="459">
        <f>'[3]Додаток4 скор'!O12</f>
        <v>0.006569468975990443</v>
      </c>
      <c r="H13" s="459">
        <f aca="true" t="shared" si="3" ref="H13:H39">G13/$G$42*1000</f>
        <v>0.00037428286426394733</v>
      </c>
      <c r="I13" s="459">
        <f>'[3]Додаток4 скор'!T12</f>
        <v>0.010425486004398259</v>
      </c>
      <c r="J13" s="459">
        <f aca="true" t="shared" si="4" ref="J13:J39">I13/$I$42*1000</f>
        <v>0.0003757812101716892</v>
      </c>
      <c r="K13" s="460">
        <v>0</v>
      </c>
      <c r="L13" s="461">
        <v>0</v>
      </c>
      <c r="M13" s="460">
        <v>0</v>
      </c>
      <c r="N13" s="461">
        <v>0</v>
      </c>
      <c r="O13" s="462">
        <v>0</v>
      </c>
      <c r="P13" s="461">
        <v>0</v>
      </c>
      <c r="Q13" s="462">
        <v>0</v>
      </c>
      <c r="R13" s="461">
        <v>0</v>
      </c>
      <c r="S13" s="463"/>
    </row>
    <row r="14" spans="1:19" s="464" customFormat="1" ht="18" customHeight="1">
      <c r="A14" s="456" t="s">
        <v>316</v>
      </c>
      <c r="B14" s="457" t="s">
        <v>379</v>
      </c>
      <c r="C14" s="458">
        <f t="shared" si="0"/>
        <v>77.79673255255608</v>
      </c>
      <c r="D14" s="459">
        <f t="shared" si="1"/>
        <v>0.32268930671627644</v>
      </c>
      <c r="E14" s="458">
        <v>70.41</v>
      </c>
      <c r="F14" s="459">
        <f t="shared" si="2"/>
        <v>0.3596144724472033</v>
      </c>
      <c r="G14" s="459">
        <f>'[3]Додаток4 скор'!O13</f>
        <v>2.855371514308422</v>
      </c>
      <c r="H14" s="459">
        <f t="shared" si="3"/>
        <v>0.1626793022113201</v>
      </c>
      <c r="I14" s="459">
        <f>'[3]Додаток4 скор'!T13</f>
        <v>4.53136103824767</v>
      </c>
      <c r="J14" s="459">
        <f t="shared" si="4"/>
        <v>0.16333054727225008</v>
      </c>
      <c r="K14" s="460">
        <v>199.1</v>
      </c>
      <c r="L14" s="461">
        <v>3.25</v>
      </c>
      <c r="M14" s="460">
        <v>169.46</v>
      </c>
      <c r="N14" s="461">
        <v>3.25</v>
      </c>
      <c r="O14" s="462">
        <v>23.5</v>
      </c>
      <c r="P14" s="461">
        <v>3.25</v>
      </c>
      <c r="Q14" s="462">
        <v>6.13</v>
      </c>
      <c r="R14" s="461">
        <v>3.25</v>
      </c>
      <c r="S14" s="463"/>
    </row>
    <row r="15" spans="1:19" s="464" customFormat="1" ht="18" customHeight="1">
      <c r="A15" s="456" t="s">
        <v>322</v>
      </c>
      <c r="B15" s="457" t="s">
        <v>323</v>
      </c>
      <c r="C15" s="458">
        <f t="shared" si="0"/>
        <v>20.699943381287344</v>
      </c>
      <c r="D15" s="459">
        <f t="shared" si="1"/>
        <v>0.08586029463719838</v>
      </c>
      <c r="E15" s="458">
        <v>17.9</v>
      </c>
      <c r="F15" s="459">
        <f t="shared" si="2"/>
        <v>0.09142307991485496</v>
      </c>
      <c r="G15" s="459">
        <f>'[3]Додаток4 скор'!O14</f>
        <v>1.0823295030273907</v>
      </c>
      <c r="H15" s="459">
        <f t="shared" si="3"/>
        <v>0.06166364251828925</v>
      </c>
      <c r="I15" s="459">
        <f>'[3]Додаток4 скор'!T14</f>
        <v>1.7176138782599528</v>
      </c>
      <c r="J15" s="459">
        <f t="shared" si="4"/>
        <v>0.06191049717086715</v>
      </c>
      <c r="K15" s="460">
        <v>82.54</v>
      </c>
      <c r="L15" s="461">
        <v>1.35</v>
      </c>
      <c r="M15" s="460">
        <v>70.25</v>
      </c>
      <c r="N15" s="461">
        <v>1.35</v>
      </c>
      <c r="O15" s="462">
        <v>9.74</v>
      </c>
      <c r="P15" s="461">
        <v>1.35</v>
      </c>
      <c r="Q15" s="462">
        <v>2.54</v>
      </c>
      <c r="R15" s="461">
        <v>1.35</v>
      </c>
      <c r="S15" s="463"/>
    </row>
    <row r="16" spans="1:19" s="473" customFormat="1" ht="18" customHeight="1">
      <c r="A16" s="465" t="s">
        <v>324</v>
      </c>
      <c r="B16" s="466" t="s">
        <v>203</v>
      </c>
      <c r="C16" s="467">
        <f t="shared" si="0"/>
        <v>18.20610160338409</v>
      </c>
      <c r="D16" s="468">
        <f t="shared" si="1"/>
        <v>0.075516208864341</v>
      </c>
      <c r="E16" s="467">
        <v>15.49</v>
      </c>
      <c r="F16" s="468">
        <f t="shared" si="2"/>
        <v>0.0791141624514583</v>
      </c>
      <c r="G16" s="468">
        <f>'[3]Додаток4 скор'!O15</f>
        <v>1.049920122745838</v>
      </c>
      <c r="H16" s="468">
        <f t="shared" si="3"/>
        <v>0.05981718038792044</v>
      </c>
      <c r="I16" s="468">
        <f>'[3]Додаток4 скор'!T15</f>
        <v>1.6661814806382547</v>
      </c>
      <c r="J16" s="468">
        <f t="shared" si="4"/>
        <v>0.060056643200686814</v>
      </c>
      <c r="K16" s="469">
        <v>73.79</v>
      </c>
      <c r="L16" s="470">
        <v>1.2</v>
      </c>
      <c r="M16" s="469">
        <v>62.8</v>
      </c>
      <c r="N16" s="470">
        <v>1.2</v>
      </c>
      <c r="O16" s="471">
        <v>8.71</v>
      </c>
      <c r="P16" s="470">
        <v>1.2</v>
      </c>
      <c r="Q16" s="471">
        <v>2.27</v>
      </c>
      <c r="R16" s="470">
        <v>1.2</v>
      </c>
      <c r="S16" s="472"/>
    </row>
    <row r="17" spans="1:19" s="473" customFormat="1" ht="18" customHeight="1">
      <c r="A17" s="465" t="s">
        <v>328</v>
      </c>
      <c r="B17" s="466" t="s">
        <v>329</v>
      </c>
      <c r="C17" s="467">
        <f t="shared" si="0"/>
        <v>0.19</v>
      </c>
      <c r="D17" s="468">
        <f t="shared" si="1"/>
        <v>0.0007880918165126473</v>
      </c>
      <c r="E17" s="467">
        <v>0.19</v>
      </c>
      <c r="F17" s="468">
        <f t="shared" si="2"/>
        <v>0.0009704125801018126</v>
      </c>
      <c r="G17" s="468">
        <f>'[3]Додаток4 скор'!O16</f>
        <v>0</v>
      </c>
      <c r="H17" s="468">
        <f t="shared" si="3"/>
        <v>0</v>
      </c>
      <c r="I17" s="468">
        <f>'[3]Додаток4 скор'!T16</f>
        <v>0</v>
      </c>
      <c r="J17" s="468">
        <f t="shared" si="4"/>
        <v>0</v>
      </c>
      <c r="K17" s="469">
        <v>0.4</v>
      </c>
      <c r="L17" s="470">
        <v>0.01</v>
      </c>
      <c r="M17" s="469">
        <v>0.34</v>
      </c>
      <c r="N17" s="470">
        <v>0.01</v>
      </c>
      <c r="O17" s="471">
        <v>0.05</v>
      </c>
      <c r="P17" s="470">
        <v>0.01</v>
      </c>
      <c r="Q17" s="471">
        <v>0.01</v>
      </c>
      <c r="R17" s="470">
        <v>0.01</v>
      </c>
      <c r="S17" s="472"/>
    </row>
    <row r="18" spans="1:19" s="473" customFormat="1" ht="18" customHeight="1">
      <c r="A18" s="465" t="s">
        <v>330</v>
      </c>
      <c r="B18" s="466" t="s">
        <v>331</v>
      </c>
      <c r="C18" s="467">
        <f t="shared" si="0"/>
        <v>2.303841777903251</v>
      </c>
      <c r="D18" s="468">
        <f t="shared" si="1"/>
        <v>0.009555993956344737</v>
      </c>
      <c r="E18" s="467">
        <v>2.22</v>
      </c>
      <c r="F18" s="468">
        <f t="shared" si="2"/>
        <v>0.011338504883294864</v>
      </c>
      <c r="G18" s="468">
        <f>'[3]Додаток4 скор'!O17</f>
        <v>0.03240938028155285</v>
      </c>
      <c r="H18" s="468">
        <f t="shared" si="3"/>
        <v>0.0018464621303688068</v>
      </c>
      <c r="I18" s="468">
        <f>'[3]Додаток4 скор'!T17</f>
        <v>0.05143239762169808</v>
      </c>
      <c r="J18" s="468">
        <f t="shared" si="4"/>
        <v>0.0018538539701803333</v>
      </c>
      <c r="K18" s="469">
        <v>8.35</v>
      </c>
      <c r="L18" s="470">
        <v>0.14</v>
      </c>
      <c r="M18" s="469">
        <v>7.11</v>
      </c>
      <c r="N18" s="470">
        <v>0.14</v>
      </c>
      <c r="O18" s="471">
        <v>0.99</v>
      </c>
      <c r="P18" s="470">
        <v>0.14</v>
      </c>
      <c r="Q18" s="471">
        <v>0.26</v>
      </c>
      <c r="R18" s="470">
        <v>0.14</v>
      </c>
      <c r="S18" s="472"/>
    </row>
    <row r="19" spans="1:19" s="464" customFormat="1" ht="18" customHeight="1">
      <c r="A19" s="456" t="s">
        <v>332</v>
      </c>
      <c r="B19" s="457" t="s">
        <v>333</v>
      </c>
      <c r="C19" s="458">
        <f t="shared" si="0"/>
        <v>0</v>
      </c>
      <c r="D19" s="459">
        <f t="shared" si="1"/>
        <v>0</v>
      </c>
      <c r="E19" s="458">
        <f>SUM(E20:E22)</f>
        <v>0</v>
      </c>
      <c r="F19" s="459">
        <f t="shared" si="2"/>
        <v>0</v>
      </c>
      <c r="G19" s="459">
        <f>SUM(G20:G22)</f>
        <v>0</v>
      </c>
      <c r="H19" s="459">
        <f t="shared" si="3"/>
        <v>0</v>
      </c>
      <c r="I19" s="459">
        <f>SUM(I20:I22)</f>
        <v>0</v>
      </c>
      <c r="J19" s="459">
        <f t="shared" si="4"/>
        <v>0</v>
      </c>
      <c r="K19" s="460">
        <v>0</v>
      </c>
      <c r="L19" s="461">
        <v>0</v>
      </c>
      <c r="M19" s="460">
        <v>0</v>
      </c>
      <c r="N19" s="461">
        <v>0</v>
      </c>
      <c r="O19" s="462">
        <v>0</v>
      </c>
      <c r="P19" s="461">
        <v>0</v>
      </c>
      <c r="Q19" s="462">
        <v>0</v>
      </c>
      <c r="R19" s="461">
        <v>0</v>
      </c>
      <c r="S19" s="463"/>
    </row>
    <row r="20" spans="1:19" s="473" customFormat="1" ht="18" customHeight="1">
      <c r="A20" s="465" t="s">
        <v>334</v>
      </c>
      <c r="B20" s="466" t="s">
        <v>201</v>
      </c>
      <c r="C20" s="467">
        <f t="shared" si="0"/>
        <v>0</v>
      </c>
      <c r="D20" s="468">
        <f t="shared" si="1"/>
        <v>0</v>
      </c>
      <c r="E20" s="467">
        <f>'[3]Додаток4 скор'!J19</f>
        <v>0</v>
      </c>
      <c r="F20" s="468">
        <f t="shared" si="2"/>
        <v>0</v>
      </c>
      <c r="G20" s="468">
        <f>'[3]Додаток4 скор'!O19</f>
        <v>0</v>
      </c>
      <c r="H20" s="468">
        <f t="shared" si="3"/>
        <v>0</v>
      </c>
      <c r="I20" s="468">
        <f>'[3]Додаток4 скор'!T19</f>
        <v>0</v>
      </c>
      <c r="J20" s="468">
        <f t="shared" si="4"/>
        <v>0</v>
      </c>
      <c r="K20" s="469">
        <v>0</v>
      </c>
      <c r="L20" s="470">
        <v>0</v>
      </c>
      <c r="M20" s="469">
        <v>0</v>
      </c>
      <c r="N20" s="470">
        <v>0</v>
      </c>
      <c r="O20" s="471">
        <v>0</v>
      </c>
      <c r="P20" s="470">
        <v>0</v>
      </c>
      <c r="Q20" s="471">
        <v>0</v>
      </c>
      <c r="R20" s="470">
        <v>0</v>
      </c>
      <c r="S20" s="472"/>
    </row>
    <row r="21" spans="1:19" s="473" customFormat="1" ht="18" customHeight="1">
      <c r="A21" s="465" t="s">
        <v>335</v>
      </c>
      <c r="B21" s="466" t="s">
        <v>203</v>
      </c>
      <c r="C21" s="467">
        <f t="shared" si="0"/>
        <v>0</v>
      </c>
      <c r="D21" s="468">
        <f t="shared" si="1"/>
        <v>0</v>
      </c>
      <c r="E21" s="467">
        <f>'[3]Додаток4 скор'!J20</f>
        <v>0</v>
      </c>
      <c r="F21" s="468">
        <f t="shared" si="2"/>
        <v>0</v>
      </c>
      <c r="G21" s="468">
        <f>'[3]Додаток4 скор'!O20</f>
        <v>0</v>
      </c>
      <c r="H21" s="468">
        <f t="shared" si="3"/>
        <v>0</v>
      </c>
      <c r="I21" s="468">
        <f>'[3]Додаток4 скор'!T20</f>
        <v>0</v>
      </c>
      <c r="J21" s="468">
        <f t="shared" si="4"/>
        <v>0</v>
      </c>
      <c r="K21" s="469">
        <v>0</v>
      </c>
      <c r="L21" s="470">
        <v>0</v>
      </c>
      <c r="M21" s="469">
        <v>0</v>
      </c>
      <c r="N21" s="470">
        <v>0</v>
      </c>
      <c r="O21" s="471">
        <v>0</v>
      </c>
      <c r="P21" s="470">
        <v>0</v>
      </c>
      <c r="Q21" s="471">
        <v>0</v>
      </c>
      <c r="R21" s="470">
        <v>0</v>
      </c>
      <c r="S21" s="472"/>
    </row>
    <row r="22" spans="1:19" s="473" customFormat="1" ht="18" customHeight="1">
      <c r="A22" s="465" t="s">
        <v>336</v>
      </c>
      <c r="B22" s="466" t="s">
        <v>337</v>
      </c>
      <c r="C22" s="467">
        <f t="shared" si="0"/>
        <v>0</v>
      </c>
      <c r="D22" s="468">
        <f t="shared" si="1"/>
        <v>0</v>
      </c>
      <c r="E22" s="467">
        <f>'[3]Додаток4 скор'!J21</f>
        <v>0</v>
      </c>
      <c r="F22" s="468">
        <f t="shared" si="2"/>
        <v>0</v>
      </c>
      <c r="G22" s="468">
        <f>'[3]Додаток4 скор'!O21</f>
        <v>0</v>
      </c>
      <c r="H22" s="468">
        <f t="shared" si="3"/>
        <v>0</v>
      </c>
      <c r="I22" s="468">
        <f>'[3]Додаток4 скор'!T21</f>
        <v>0</v>
      </c>
      <c r="J22" s="468">
        <f t="shared" si="4"/>
        <v>0</v>
      </c>
      <c r="K22" s="469">
        <v>0</v>
      </c>
      <c r="L22" s="470">
        <v>0</v>
      </c>
      <c r="M22" s="469">
        <v>0</v>
      </c>
      <c r="N22" s="470">
        <v>0</v>
      </c>
      <c r="O22" s="471">
        <v>0</v>
      </c>
      <c r="P22" s="470">
        <v>0</v>
      </c>
      <c r="Q22" s="471">
        <v>0</v>
      </c>
      <c r="R22" s="470">
        <v>0</v>
      </c>
      <c r="S22" s="472"/>
    </row>
    <row r="23" spans="1:19" s="464" customFormat="1" ht="18" customHeight="1">
      <c r="A23" s="456">
        <v>2</v>
      </c>
      <c r="B23" s="457" t="s">
        <v>338</v>
      </c>
      <c r="C23" s="458">
        <f t="shared" si="0"/>
        <v>10.503467348965932</v>
      </c>
      <c r="D23" s="459">
        <f t="shared" si="1"/>
        <v>0.04356682454067285</v>
      </c>
      <c r="E23" s="458">
        <f>SUM(E24:E26)</f>
        <v>9.85</v>
      </c>
      <c r="F23" s="459">
        <f t="shared" si="2"/>
        <v>0.05030823112633081</v>
      </c>
      <c r="G23" s="459">
        <f>SUM(G24:G26)</f>
        <v>0.25260046177281653</v>
      </c>
      <c r="H23" s="459">
        <f t="shared" si="3"/>
        <v>0.014391425652858284</v>
      </c>
      <c r="I23" s="459">
        <f>SUM(I24:I26)</f>
        <v>0.40086688719311603</v>
      </c>
      <c r="J23" s="459">
        <f t="shared" si="4"/>
        <v>0.014449038051908232</v>
      </c>
      <c r="K23" s="460">
        <v>14.28</v>
      </c>
      <c r="L23" s="461">
        <v>0.23</v>
      </c>
      <c r="M23" s="460">
        <v>12.16</v>
      </c>
      <c r="N23" s="461">
        <v>0.23</v>
      </c>
      <c r="O23" s="462">
        <v>1.69</v>
      </c>
      <c r="P23" s="461">
        <v>0.23</v>
      </c>
      <c r="Q23" s="462">
        <v>0.44</v>
      </c>
      <c r="R23" s="461">
        <v>0.23</v>
      </c>
      <c r="S23" s="463"/>
    </row>
    <row r="24" spans="1:19" s="473" customFormat="1" ht="18" customHeight="1">
      <c r="A24" s="465" t="s">
        <v>339</v>
      </c>
      <c r="B24" s="466" t="s">
        <v>201</v>
      </c>
      <c r="C24" s="467">
        <f t="shared" si="0"/>
        <v>1.5545864321372298</v>
      </c>
      <c r="D24" s="468">
        <f t="shared" si="1"/>
        <v>0.006448193922257603</v>
      </c>
      <c r="E24" s="467">
        <v>1.21</v>
      </c>
      <c r="F24" s="468">
        <f t="shared" si="2"/>
        <v>0.0061799959048589115</v>
      </c>
      <c r="G24" s="468">
        <f>'[3]Додаток4 скор'!O23</f>
        <v>0.13320128697516517</v>
      </c>
      <c r="H24" s="468">
        <f t="shared" si="3"/>
        <v>0.007588887228924385</v>
      </c>
      <c r="I24" s="468">
        <f>'[3]Додаток4 скор'!T23</f>
        <v>0.21138514516206472</v>
      </c>
      <c r="J24" s="468">
        <f t="shared" si="4"/>
        <v>0.00761926740180816</v>
      </c>
      <c r="K24" s="469">
        <v>8.81</v>
      </c>
      <c r="L24" s="470">
        <v>0.14</v>
      </c>
      <c r="M24" s="469">
        <v>7.5</v>
      </c>
      <c r="N24" s="470">
        <v>0.14</v>
      </c>
      <c r="O24" s="471">
        <v>1.04</v>
      </c>
      <c r="P24" s="470">
        <v>0.14</v>
      </c>
      <c r="Q24" s="471">
        <v>0.27</v>
      </c>
      <c r="R24" s="470">
        <v>0.14</v>
      </c>
      <c r="S24" s="472"/>
    </row>
    <row r="25" spans="1:19" s="473" customFormat="1" ht="18" customHeight="1">
      <c r="A25" s="465" t="s">
        <v>340</v>
      </c>
      <c r="B25" s="466" t="s">
        <v>203</v>
      </c>
      <c r="C25" s="467">
        <f t="shared" si="0"/>
        <v>0.396704430627153</v>
      </c>
      <c r="D25" s="468">
        <f t="shared" si="1"/>
        <v>0.0016454711334293077</v>
      </c>
      <c r="E25" s="467">
        <v>0.27</v>
      </c>
      <c r="F25" s="468">
        <f t="shared" si="2"/>
        <v>0.0013790073506709968</v>
      </c>
      <c r="G25" s="468">
        <f>'[3]Додаток4 скор'!O24</f>
        <v>0.048978113039201285</v>
      </c>
      <c r="H25" s="468">
        <f t="shared" si="3"/>
        <v>0.002790433823731069</v>
      </c>
      <c r="I25" s="468">
        <f>'[3]Додаток4 скор'!T24</f>
        <v>0.07772631758795168</v>
      </c>
      <c r="J25" s="468">
        <f t="shared" si="4"/>
        <v>0.0028016046132590218</v>
      </c>
      <c r="K25" s="469">
        <v>3.27</v>
      </c>
      <c r="L25" s="470">
        <v>0.05</v>
      </c>
      <c r="M25" s="469">
        <v>2.78</v>
      </c>
      <c r="N25" s="470">
        <v>0.05</v>
      </c>
      <c r="O25" s="471">
        <v>0.39</v>
      </c>
      <c r="P25" s="470">
        <v>0.05</v>
      </c>
      <c r="Q25" s="471">
        <v>0.1</v>
      </c>
      <c r="R25" s="470">
        <v>0.05</v>
      </c>
      <c r="S25" s="472"/>
    </row>
    <row r="26" spans="1:19" s="473" customFormat="1" ht="18" customHeight="1">
      <c r="A26" s="465" t="s">
        <v>341</v>
      </c>
      <c r="B26" s="466" t="s">
        <v>337</v>
      </c>
      <c r="C26" s="467">
        <f t="shared" si="0"/>
        <v>8.55217648620155</v>
      </c>
      <c r="D26" s="468">
        <f t="shared" si="1"/>
        <v>0.03547315948498594</v>
      </c>
      <c r="E26" s="467">
        <v>8.37</v>
      </c>
      <c r="F26" s="468">
        <f t="shared" si="2"/>
        <v>0.0427492278708009</v>
      </c>
      <c r="G26" s="468">
        <f>'[3]Додаток4 скор'!O25</f>
        <v>0.07042106175845007</v>
      </c>
      <c r="H26" s="468">
        <f t="shared" si="3"/>
        <v>0.004012104600202827</v>
      </c>
      <c r="I26" s="468">
        <f>'[3]Додаток4 скор'!T25</f>
        <v>0.11175542444309958</v>
      </c>
      <c r="J26" s="468">
        <f t="shared" si="4"/>
        <v>0.004028166036841046</v>
      </c>
      <c r="K26" s="469">
        <v>2.2</v>
      </c>
      <c r="L26" s="470">
        <v>0.04</v>
      </c>
      <c r="M26" s="469">
        <v>1.87</v>
      </c>
      <c r="N26" s="470">
        <v>0.04</v>
      </c>
      <c r="O26" s="471">
        <v>0.26</v>
      </c>
      <c r="P26" s="470">
        <v>0.04</v>
      </c>
      <c r="Q26" s="471">
        <v>0.07</v>
      </c>
      <c r="R26" s="470">
        <v>0.04</v>
      </c>
      <c r="S26" s="472"/>
    </row>
    <row r="27" spans="1:19" s="464" customFormat="1" ht="17.25" customHeight="1">
      <c r="A27" s="456">
        <v>3</v>
      </c>
      <c r="B27" s="457" t="s">
        <v>342</v>
      </c>
      <c r="C27" s="458">
        <f t="shared" si="0"/>
        <v>0</v>
      </c>
      <c r="D27" s="459">
        <f t="shared" si="1"/>
        <v>0</v>
      </c>
      <c r="E27" s="458">
        <f>SUM(E28:E30)</f>
        <v>0</v>
      </c>
      <c r="F27" s="459">
        <f t="shared" si="2"/>
        <v>0</v>
      </c>
      <c r="G27" s="458">
        <f>SUM(G28:G30)</f>
        <v>0</v>
      </c>
      <c r="H27" s="459">
        <f t="shared" si="3"/>
        <v>0</v>
      </c>
      <c r="I27" s="458">
        <f>SUM(I28:I30)</f>
        <v>0</v>
      </c>
      <c r="J27" s="459">
        <f t="shared" si="4"/>
        <v>0</v>
      </c>
      <c r="K27" s="460">
        <v>0</v>
      </c>
      <c r="L27" s="461">
        <v>0</v>
      </c>
      <c r="M27" s="460">
        <v>0</v>
      </c>
      <c r="N27" s="461">
        <v>0</v>
      </c>
      <c r="O27" s="462">
        <v>0</v>
      </c>
      <c r="P27" s="461">
        <v>0</v>
      </c>
      <c r="Q27" s="462">
        <v>0</v>
      </c>
      <c r="R27" s="461">
        <v>0</v>
      </c>
      <c r="S27" s="463"/>
    </row>
    <row r="28" spans="1:19" s="477" customFormat="1" ht="18" customHeight="1" hidden="1">
      <c r="A28" s="474" t="s">
        <v>343</v>
      </c>
      <c r="B28" s="457" t="s">
        <v>201</v>
      </c>
      <c r="C28" s="458">
        <f t="shared" si="0"/>
        <v>0</v>
      </c>
      <c r="D28" s="459">
        <f t="shared" si="1"/>
        <v>0</v>
      </c>
      <c r="E28" s="475">
        <v>0</v>
      </c>
      <c r="F28" s="459">
        <f t="shared" si="2"/>
        <v>0</v>
      </c>
      <c r="G28" s="476">
        <v>0</v>
      </c>
      <c r="H28" s="459">
        <f t="shared" si="3"/>
        <v>0</v>
      </c>
      <c r="I28" s="476">
        <v>0</v>
      </c>
      <c r="J28" s="459">
        <f t="shared" si="4"/>
        <v>0</v>
      </c>
      <c r="K28" s="460">
        <v>0</v>
      </c>
      <c r="L28" s="461">
        <v>0</v>
      </c>
      <c r="M28" s="460">
        <v>0</v>
      </c>
      <c r="N28" s="461">
        <v>0</v>
      </c>
      <c r="O28" s="462">
        <v>0</v>
      </c>
      <c r="P28" s="461">
        <v>0</v>
      </c>
      <c r="Q28" s="462">
        <v>0</v>
      </c>
      <c r="R28" s="461">
        <v>0</v>
      </c>
      <c r="S28" s="463"/>
    </row>
    <row r="29" spans="1:19" s="477" customFormat="1" ht="18" customHeight="1" hidden="1">
      <c r="A29" s="474" t="s">
        <v>344</v>
      </c>
      <c r="B29" s="457" t="s">
        <v>203</v>
      </c>
      <c r="C29" s="458">
        <f t="shared" si="0"/>
        <v>0</v>
      </c>
      <c r="D29" s="459">
        <f t="shared" si="1"/>
        <v>0</v>
      </c>
      <c r="E29" s="475">
        <v>0</v>
      </c>
      <c r="F29" s="459">
        <f t="shared" si="2"/>
        <v>0</v>
      </c>
      <c r="G29" s="476">
        <v>0</v>
      </c>
      <c r="H29" s="459">
        <f t="shared" si="3"/>
        <v>0</v>
      </c>
      <c r="I29" s="476">
        <v>0</v>
      </c>
      <c r="J29" s="459">
        <f t="shared" si="4"/>
        <v>0</v>
      </c>
      <c r="K29" s="460">
        <v>0</v>
      </c>
      <c r="L29" s="461">
        <v>0</v>
      </c>
      <c r="M29" s="460">
        <v>0</v>
      </c>
      <c r="N29" s="461">
        <v>0</v>
      </c>
      <c r="O29" s="462">
        <v>0</v>
      </c>
      <c r="P29" s="461">
        <v>0</v>
      </c>
      <c r="Q29" s="462">
        <v>0</v>
      </c>
      <c r="R29" s="461">
        <v>0</v>
      </c>
      <c r="S29" s="463"/>
    </row>
    <row r="30" spans="1:19" s="477" customFormat="1" ht="18" customHeight="1" hidden="1">
      <c r="A30" s="474" t="s">
        <v>345</v>
      </c>
      <c r="B30" s="457" t="s">
        <v>337</v>
      </c>
      <c r="C30" s="458">
        <f t="shared" si="0"/>
        <v>0</v>
      </c>
      <c r="D30" s="459">
        <f t="shared" si="1"/>
        <v>0</v>
      </c>
      <c r="E30" s="475">
        <v>0</v>
      </c>
      <c r="F30" s="459">
        <f t="shared" si="2"/>
        <v>0</v>
      </c>
      <c r="G30" s="476">
        <v>0</v>
      </c>
      <c r="H30" s="459">
        <f t="shared" si="3"/>
        <v>0</v>
      </c>
      <c r="I30" s="476">
        <v>0</v>
      </c>
      <c r="J30" s="459">
        <f t="shared" si="4"/>
        <v>0</v>
      </c>
      <c r="K30" s="460">
        <v>0</v>
      </c>
      <c r="L30" s="461">
        <v>0</v>
      </c>
      <c r="M30" s="460">
        <v>0</v>
      </c>
      <c r="N30" s="461">
        <v>0</v>
      </c>
      <c r="O30" s="462">
        <v>0</v>
      </c>
      <c r="P30" s="461">
        <v>0</v>
      </c>
      <c r="Q30" s="462">
        <v>0</v>
      </c>
      <c r="R30" s="461">
        <v>0</v>
      </c>
      <c r="S30" s="463"/>
    </row>
    <row r="31" spans="1:19" s="464" customFormat="1" ht="18" customHeight="1">
      <c r="A31" s="456">
        <v>4</v>
      </c>
      <c r="B31" s="457" t="s">
        <v>346</v>
      </c>
      <c r="C31" s="458">
        <f t="shared" si="0"/>
        <v>0</v>
      </c>
      <c r="D31" s="459">
        <f t="shared" si="1"/>
        <v>0</v>
      </c>
      <c r="E31" s="458">
        <f>'[3]Додаток4 скор'!J30</f>
        <v>0</v>
      </c>
      <c r="F31" s="459">
        <f t="shared" si="2"/>
        <v>0</v>
      </c>
      <c r="G31" s="459">
        <f>'[3]Додаток4 скор'!O30</f>
        <v>0</v>
      </c>
      <c r="H31" s="459">
        <f t="shared" si="3"/>
        <v>0</v>
      </c>
      <c r="I31" s="459">
        <f>'[3]Додаток4 скор'!T30</f>
        <v>0</v>
      </c>
      <c r="J31" s="459">
        <f t="shared" si="4"/>
        <v>0</v>
      </c>
      <c r="K31" s="460">
        <v>0</v>
      </c>
      <c r="L31" s="461">
        <v>0</v>
      </c>
      <c r="M31" s="460">
        <v>0</v>
      </c>
      <c r="N31" s="461">
        <v>0</v>
      </c>
      <c r="O31" s="462">
        <v>0</v>
      </c>
      <c r="P31" s="461">
        <v>0</v>
      </c>
      <c r="Q31" s="462">
        <v>0</v>
      </c>
      <c r="R31" s="461">
        <v>0</v>
      </c>
      <c r="S31" s="463"/>
    </row>
    <row r="32" spans="1:19" s="464" customFormat="1" ht="18" customHeight="1">
      <c r="A32" s="456">
        <v>5</v>
      </c>
      <c r="B32" s="457" t="s">
        <v>347</v>
      </c>
      <c r="C32" s="458">
        <f t="shared" si="0"/>
        <v>0</v>
      </c>
      <c r="D32" s="459">
        <f t="shared" si="1"/>
        <v>0</v>
      </c>
      <c r="E32" s="458">
        <f>'[3]Додаток4 скор'!J31</f>
        <v>0</v>
      </c>
      <c r="F32" s="459">
        <f t="shared" si="2"/>
        <v>0</v>
      </c>
      <c r="G32" s="459">
        <f>'[3]Додаток4 скор'!O31</f>
        <v>0</v>
      </c>
      <c r="H32" s="459">
        <f t="shared" si="3"/>
        <v>0</v>
      </c>
      <c r="I32" s="459">
        <f>'[3]Додаток4 скор'!T31</f>
        <v>0</v>
      </c>
      <c r="J32" s="459">
        <f t="shared" si="4"/>
        <v>0</v>
      </c>
      <c r="K32" s="460">
        <v>0</v>
      </c>
      <c r="L32" s="461">
        <v>0</v>
      </c>
      <c r="M32" s="460">
        <v>0</v>
      </c>
      <c r="N32" s="461">
        <v>0</v>
      </c>
      <c r="O32" s="462">
        <v>0</v>
      </c>
      <c r="P32" s="461">
        <v>0</v>
      </c>
      <c r="Q32" s="462">
        <v>0</v>
      </c>
      <c r="R32" s="461">
        <v>0</v>
      </c>
      <c r="S32" s="463"/>
    </row>
    <row r="33" spans="1:19" s="464" customFormat="1" ht="18" customHeight="1">
      <c r="A33" s="456">
        <v>6</v>
      </c>
      <c r="B33" s="457" t="s">
        <v>380</v>
      </c>
      <c r="C33" s="458">
        <f t="shared" si="0"/>
        <v>109.01713823778975</v>
      </c>
      <c r="D33" s="459">
        <f t="shared" si="1"/>
        <v>0.45218691844647424</v>
      </c>
      <c r="E33" s="458">
        <f>E23+E12</f>
        <v>98.16</v>
      </c>
      <c r="F33" s="459">
        <f t="shared" si="2"/>
        <v>0.501345783488389</v>
      </c>
      <c r="G33" s="459">
        <f>G23+G12</f>
        <v>4.196870948084619</v>
      </c>
      <c r="H33" s="459">
        <f t="shared" si="3"/>
        <v>0.23910865324673153</v>
      </c>
      <c r="I33" s="459">
        <f>I23+I12</f>
        <v>6.660267289705137</v>
      </c>
      <c r="J33" s="459">
        <f t="shared" si="4"/>
        <v>0.24006586370519714</v>
      </c>
      <c r="K33" s="460">
        <v>295.91</v>
      </c>
      <c r="L33" s="461">
        <v>4.83</v>
      </c>
      <c r="M33" s="460">
        <v>251.87</v>
      </c>
      <c r="N33" s="461">
        <v>4.83</v>
      </c>
      <c r="O33" s="462">
        <v>34.92</v>
      </c>
      <c r="P33" s="461">
        <v>4.83</v>
      </c>
      <c r="Q33" s="462">
        <v>9.12</v>
      </c>
      <c r="R33" s="461">
        <v>4.83</v>
      </c>
      <c r="S33" s="463"/>
    </row>
    <row r="34" spans="1:19" s="464" customFormat="1" ht="18" customHeight="1">
      <c r="A34" s="456">
        <v>7</v>
      </c>
      <c r="B34" s="457" t="s">
        <v>355</v>
      </c>
      <c r="C34" s="458">
        <f t="shared" si="0"/>
        <v>0</v>
      </c>
      <c r="D34" s="459">
        <f t="shared" si="1"/>
        <v>0</v>
      </c>
      <c r="E34" s="458">
        <f>SUM(E35:E39)</f>
        <v>0</v>
      </c>
      <c r="F34" s="459">
        <f t="shared" si="2"/>
        <v>0</v>
      </c>
      <c r="G34" s="459">
        <f>SUM(G35:G39)</f>
        <v>0</v>
      </c>
      <c r="H34" s="459">
        <f t="shared" si="3"/>
        <v>0</v>
      </c>
      <c r="I34" s="459">
        <f>SUM(I35:I39)</f>
        <v>0</v>
      </c>
      <c r="J34" s="459">
        <f t="shared" si="4"/>
        <v>0</v>
      </c>
      <c r="K34" s="460">
        <v>0</v>
      </c>
      <c r="L34" s="461">
        <v>0</v>
      </c>
      <c r="M34" s="460">
        <v>0</v>
      </c>
      <c r="N34" s="461">
        <v>0</v>
      </c>
      <c r="O34" s="462">
        <v>0</v>
      </c>
      <c r="P34" s="461">
        <v>0</v>
      </c>
      <c r="Q34" s="462">
        <v>0</v>
      </c>
      <c r="R34" s="461">
        <v>0</v>
      </c>
      <c r="S34" s="463"/>
    </row>
    <row r="35" spans="1:19" s="473" customFormat="1" ht="18" customHeight="1">
      <c r="A35" s="465" t="s">
        <v>356</v>
      </c>
      <c r="B35" s="466" t="s">
        <v>357</v>
      </c>
      <c r="C35" s="467">
        <f t="shared" si="0"/>
        <v>0</v>
      </c>
      <c r="D35" s="468">
        <f t="shared" si="1"/>
        <v>0</v>
      </c>
      <c r="E35" s="467">
        <f>'[3]Додаток4 скор'!J34</f>
        <v>0</v>
      </c>
      <c r="F35" s="468">
        <f t="shared" si="2"/>
        <v>0</v>
      </c>
      <c r="G35" s="468">
        <f>'[3]Додаток4 скор'!O34</f>
        <v>0</v>
      </c>
      <c r="H35" s="468">
        <f t="shared" si="3"/>
        <v>0</v>
      </c>
      <c r="I35" s="468">
        <f>'[3]Додаток4 скор'!T34</f>
        <v>0</v>
      </c>
      <c r="J35" s="468">
        <f t="shared" si="4"/>
        <v>0</v>
      </c>
      <c r="K35" s="469">
        <v>0</v>
      </c>
      <c r="L35" s="467">
        <v>0</v>
      </c>
      <c r="M35" s="469">
        <v>0</v>
      </c>
      <c r="N35" s="470">
        <v>0</v>
      </c>
      <c r="O35" s="471">
        <v>0</v>
      </c>
      <c r="P35" s="470">
        <v>0</v>
      </c>
      <c r="Q35" s="471">
        <v>0</v>
      </c>
      <c r="R35" s="470">
        <v>0</v>
      </c>
      <c r="S35" s="472"/>
    </row>
    <row r="36" spans="1:19" s="473" customFormat="1" ht="18" customHeight="1" hidden="1">
      <c r="A36" s="465" t="s">
        <v>358</v>
      </c>
      <c r="B36" s="466" t="s">
        <v>359</v>
      </c>
      <c r="C36" s="467">
        <f t="shared" si="0"/>
        <v>0</v>
      </c>
      <c r="D36" s="468">
        <f t="shared" si="1"/>
        <v>0</v>
      </c>
      <c r="E36" s="467">
        <f>'[3]Додаток4 скор'!J35</f>
        <v>0</v>
      </c>
      <c r="F36" s="468">
        <f t="shared" si="2"/>
        <v>0</v>
      </c>
      <c r="G36" s="468">
        <f>'[3]Додаток4 скор'!O35</f>
        <v>0</v>
      </c>
      <c r="H36" s="468">
        <f t="shared" si="3"/>
        <v>0</v>
      </c>
      <c r="I36" s="468">
        <f>'[3]Додаток4 скор'!T35</f>
        <v>0</v>
      </c>
      <c r="J36" s="468">
        <f t="shared" si="4"/>
        <v>0</v>
      </c>
      <c r="K36" s="469">
        <v>0</v>
      </c>
      <c r="L36" s="467">
        <v>0</v>
      </c>
      <c r="M36" s="469">
        <v>0</v>
      </c>
      <c r="N36" s="470">
        <v>0</v>
      </c>
      <c r="O36" s="471">
        <v>0</v>
      </c>
      <c r="P36" s="470">
        <v>0</v>
      </c>
      <c r="Q36" s="471">
        <v>0</v>
      </c>
      <c r="R36" s="470">
        <v>0</v>
      </c>
      <c r="S36" s="472"/>
    </row>
    <row r="37" spans="1:19" s="473" customFormat="1" ht="18" customHeight="1">
      <c r="A37" s="465" t="s">
        <v>358</v>
      </c>
      <c r="B37" s="466" t="str">
        <f>'[3]Додаток3'!B42</f>
        <v>резервний фонд (капітал) та дивіденди </v>
      </c>
      <c r="C37" s="467">
        <f t="shared" si="0"/>
        <v>0</v>
      </c>
      <c r="D37" s="468">
        <f t="shared" si="1"/>
        <v>0</v>
      </c>
      <c r="E37" s="467">
        <f>'[3]Додаток4 скор'!J36</f>
        <v>0</v>
      </c>
      <c r="F37" s="468">
        <f t="shared" si="2"/>
        <v>0</v>
      </c>
      <c r="G37" s="468">
        <f>'[3]Додаток4 скор'!O36</f>
        <v>0</v>
      </c>
      <c r="H37" s="468">
        <f t="shared" si="3"/>
        <v>0</v>
      </c>
      <c r="I37" s="468">
        <f>'[3]Додаток4 скор'!T36</f>
        <v>0</v>
      </c>
      <c r="J37" s="468">
        <f t="shared" si="4"/>
        <v>0</v>
      </c>
      <c r="K37" s="469">
        <v>0</v>
      </c>
      <c r="L37" s="467">
        <v>0</v>
      </c>
      <c r="M37" s="469">
        <v>0</v>
      </c>
      <c r="N37" s="470">
        <v>0</v>
      </c>
      <c r="O37" s="471">
        <v>0</v>
      </c>
      <c r="P37" s="470">
        <v>0</v>
      </c>
      <c r="Q37" s="471">
        <v>0</v>
      </c>
      <c r="R37" s="470">
        <v>0</v>
      </c>
      <c r="S37" s="472"/>
    </row>
    <row r="38" spans="1:19" s="473" customFormat="1" ht="31.5">
      <c r="A38" s="465" t="s">
        <v>360</v>
      </c>
      <c r="B38" s="466" t="s">
        <v>396</v>
      </c>
      <c r="C38" s="467">
        <f t="shared" si="0"/>
        <v>0</v>
      </c>
      <c r="D38" s="468">
        <f t="shared" si="1"/>
        <v>0</v>
      </c>
      <c r="E38" s="467">
        <f>'[3]Додаток4 скор'!J37</f>
        <v>0</v>
      </c>
      <c r="F38" s="468">
        <f t="shared" si="2"/>
        <v>0</v>
      </c>
      <c r="G38" s="468">
        <f>'[3]Додаток4 скор'!O37</f>
        <v>0</v>
      </c>
      <c r="H38" s="468">
        <f t="shared" si="3"/>
        <v>0</v>
      </c>
      <c r="I38" s="468">
        <f>'[3]Додаток4 скор'!T37</f>
        <v>0</v>
      </c>
      <c r="J38" s="468">
        <f t="shared" si="4"/>
        <v>0</v>
      </c>
      <c r="K38" s="469">
        <v>0</v>
      </c>
      <c r="L38" s="470">
        <v>0</v>
      </c>
      <c r="M38" s="469">
        <v>0</v>
      </c>
      <c r="N38" s="470">
        <v>0</v>
      </c>
      <c r="O38" s="471">
        <v>0</v>
      </c>
      <c r="P38" s="470">
        <v>0</v>
      </c>
      <c r="Q38" s="471">
        <v>0</v>
      </c>
      <c r="R38" s="470">
        <v>0</v>
      </c>
      <c r="S38" s="472"/>
    </row>
    <row r="39" spans="1:19" s="473" customFormat="1" ht="15.75">
      <c r="A39" s="465" t="s">
        <v>362</v>
      </c>
      <c r="B39" s="466" t="s">
        <v>363</v>
      </c>
      <c r="C39" s="467">
        <f t="shared" si="0"/>
        <v>0</v>
      </c>
      <c r="D39" s="468">
        <f t="shared" si="1"/>
        <v>0</v>
      </c>
      <c r="E39" s="467">
        <f>'[3]Додаток4 скор'!J38</f>
        <v>0</v>
      </c>
      <c r="F39" s="468">
        <f t="shared" si="2"/>
        <v>0</v>
      </c>
      <c r="G39" s="468">
        <f>'[3]Додаток4 скор'!O38</f>
        <v>0</v>
      </c>
      <c r="H39" s="468">
        <f t="shared" si="3"/>
        <v>0</v>
      </c>
      <c r="I39" s="468">
        <f>'[3]Додаток4 скор'!T38</f>
        <v>0</v>
      </c>
      <c r="J39" s="468">
        <f t="shared" si="4"/>
        <v>0</v>
      </c>
      <c r="K39" s="469">
        <v>0</v>
      </c>
      <c r="L39" s="470">
        <v>0</v>
      </c>
      <c r="M39" s="469">
        <v>0</v>
      </c>
      <c r="N39" s="470">
        <v>0</v>
      </c>
      <c r="O39" s="471">
        <v>0</v>
      </c>
      <c r="P39" s="470">
        <v>0</v>
      </c>
      <c r="Q39" s="471">
        <v>0</v>
      </c>
      <c r="R39" s="470">
        <v>0</v>
      </c>
      <c r="S39" s="472"/>
    </row>
    <row r="40" spans="1:19" s="464" customFormat="1" ht="31.5">
      <c r="A40" s="456">
        <v>8</v>
      </c>
      <c r="B40" s="457" t="s">
        <v>364</v>
      </c>
      <c r="C40" s="458">
        <f t="shared" si="0"/>
        <v>109.01713823778975</v>
      </c>
      <c r="D40" s="459">
        <f>D33+D34</f>
        <v>0.45218691844647424</v>
      </c>
      <c r="E40" s="458">
        <f>E34+E33</f>
        <v>98.16</v>
      </c>
      <c r="F40" s="459">
        <f>F33+F34</f>
        <v>0.501345783488389</v>
      </c>
      <c r="G40" s="459">
        <f>G34+G33</f>
        <v>4.196870948084619</v>
      </c>
      <c r="H40" s="459">
        <f>H33+H34</f>
        <v>0.23910865324673153</v>
      </c>
      <c r="I40" s="459">
        <f>I34+I33</f>
        <v>6.660267289705137</v>
      </c>
      <c r="J40" s="459">
        <f>J33+J34</f>
        <v>0.24006586370519714</v>
      </c>
      <c r="K40" s="460">
        <v>295.91</v>
      </c>
      <c r="L40" s="461">
        <v>4.83</v>
      </c>
      <c r="M40" s="460">
        <v>251.87</v>
      </c>
      <c r="N40" s="461">
        <v>4.83</v>
      </c>
      <c r="O40" s="462">
        <v>34.92</v>
      </c>
      <c r="P40" s="461">
        <v>4.83</v>
      </c>
      <c r="Q40" s="462">
        <v>9.12</v>
      </c>
      <c r="R40" s="461">
        <v>4.83</v>
      </c>
      <c r="S40" s="463"/>
    </row>
    <row r="41" spans="1:18" s="464" customFormat="1" ht="31.5">
      <c r="A41" s="456">
        <v>9</v>
      </c>
      <c r="B41" s="457" t="s">
        <v>365</v>
      </c>
      <c r="C41" s="458"/>
      <c r="D41" s="458">
        <f>D40</f>
        <v>0.45218691844647424</v>
      </c>
      <c r="E41" s="458"/>
      <c r="F41" s="458">
        <f>F40</f>
        <v>0.501345783488389</v>
      </c>
      <c r="G41" s="458"/>
      <c r="H41" s="458">
        <f>H40</f>
        <v>0.23910865324673153</v>
      </c>
      <c r="I41" s="458"/>
      <c r="J41" s="458">
        <f>J40</f>
        <v>0.24006586370519714</v>
      </c>
      <c r="K41" s="458">
        <v>4.83</v>
      </c>
      <c r="L41" s="458">
        <v>4.83</v>
      </c>
      <c r="M41" s="458">
        <v>4.83</v>
      </c>
      <c r="N41" s="458">
        <v>4.83</v>
      </c>
      <c r="O41" s="458">
        <v>4.83</v>
      </c>
      <c r="P41" s="458">
        <v>4.83</v>
      </c>
      <c r="Q41" s="458">
        <v>4.83</v>
      </c>
      <c r="R41" s="458">
        <v>4.83</v>
      </c>
    </row>
    <row r="42" spans="1:10" s="464" customFormat="1" ht="31.5">
      <c r="A42" s="456">
        <v>10</v>
      </c>
      <c r="B42" s="457" t="s">
        <v>367</v>
      </c>
      <c r="C42" s="458">
        <f>E42+G42+I42</f>
        <v>241088.66</v>
      </c>
      <c r="D42" s="458"/>
      <c r="E42" s="458">
        <v>195793.01</v>
      </c>
      <c r="F42" s="458"/>
      <c r="G42" s="458">
        <v>17552.15</v>
      </c>
      <c r="H42" s="459"/>
      <c r="I42" s="458">
        <v>27743.5</v>
      </c>
      <c r="J42" s="459"/>
    </row>
    <row r="43" spans="1:10" s="477" customFormat="1" ht="19.5" customHeight="1" hidden="1">
      <c r="A43" s="474" t="s">
        <v>368</v>
      </c>
      <c r="B43" s="457" t="s">
        <v>369</v>
      </c>
      <c r="C43" s="478"/>
      <c r="D43" s="478"/>
      <c r="E43" s="479"/>
      <c r="F43" s="479"/>
      <c r="G43" s="479"/>
      <c r="H43" s="479"/>
      <c r="I43" s="479"/>
      <c r="J43" s="480"/>
    </row>
    <row r="44" spans="1:10" s="477" customFormat="1" ht="15.75" customHeight="1" hidden="1">
      <c r="A44" s="474" t="s">
        <v>368</v>
      </c>
      <c r="B44" s="457" t="s">
        <v>370</v>
      </c>
      <c r="C44" s="478"/>
      <c r="D44" s="478"/>
      <c r="E44" s="479"/>
      <c r="F44" s="479"/>
      <c r="H44" s="479"/>
      <c r="I44" s="479"/>
      <c r="J44" s="480"/>
    </row>
    <row r="45" spans="1:10" s="477" customFormat="1" ht="19.5" customHeight="1" hidden="1">
      <c r="A45" s="474" t="s">
        <v>381</v>
      </c>
      <c r="B45" s="457" t="s">
        <v>382</v>
      </c>
      <c r="C45" s="478"/>
      <c r="D45" s="478"/>
      <c r="E45" s="479"/>
      <c r="F45" s="479"/>
      <c r="G45" s="479"/>
      <c r="H45" s="479"/>
      <c r="J45" s="480"/>
    </row>
    <row r="46" spans="1:9" s="477" customFormat="1" ht="15.75" hidden="1">
      <c r="A46" s="481" t="s">
        <v>125</v>
      </c>
      <c r="B46" s="481"/>
      <c r="C46" s="464"/>
      <c r="D46" s="464"/>
      <c r="E46" s="464"/>
      <c r="F46" s="464"/>
      <c r="G46" s="464"/>
      <c r="H46" s="464"/>
      <c r="I46" s="464"/>
    </row>
    <row r="47" spans="2:9" s="482" customFormat="1" ht="14.25" hidden="1">
      <c r="B47" s="482" t="s">
        <v>383</v>
      </c>
      <c r="I47" s="482" t="s">
        <v>384</v>
      </c>
    </row>
    <row r="48" spans="1:10" s="477" customFormat="1" ht="15.75">
      <c r="A48" s="483">
        <v>11</v>
      </c>
      <c r="B48" s="484" t="s">
        <v>373</v>
      </c>
      <c r="C48" s="485">
        <f>C34/C33*100</f>
        <v>0</v>
      </c>
      <c r="D48" s="485">
        <f aca="true" t="shared" si="5" ref="D48:J48">D34/D33*100</f>
        <v>0</v>
      </c>
      <c r="E48" s="485">
        <f t="shared" si="5"/>
        <v>0</v>
      </c>
      <c r="F48" s="485">
        <f t="shared" si="5"/>
        <v>0</v>
      </c>
      <c r="G48" s="485">
        <f>G34/G33*100</f>
        <v>0</v>
      </c>
      <c r="H48" s="485">
        <f t="shared" si="5"/>
        <v>0</v>
      </c>
      <c r="I48" s="485">
        <f>I34/I33*100</f>
        <v>0</v>
      </c>
      <c r="J48" s="485">
        <f t="shared" si="5"/>
        <v>0</v>
      </c>
    </row>
    <row r="49" spans="1:9" ht="10.5" customHeight="1">
      <c r="A49" s="451"/>
      <c r="B49" s="451"/>
      <c r="C49" s="451"/>
      <c r="D49" s="451"/>
      <c r="E49" s="451"/>
      <c r="F49" s="451"/>
      <c r="G49" s="451"/>
      <c r="H49" s="451"/>
      <c r="I49" s="451"/>
    </row>
    <row r="50" spans="1:9" ht="24.75" customHeight="1" hidden="1">
      <c r="A50" s="451"/>
      <c r="B50" s="451"/>
      <c r="C50" s="451"/>
      <c r="D50" s="451"/>
      <c r="E50" s="451"/>
      <c r="F50" s="451"/>
      <c r="G50" s="451"/>
      <c r="H50" s="451"/>
      <c r="I50" s="451"/>
    </row>
    <row r="51" spans="1:10" s="486" customFormat="1" ht="58.5" customHeight="1">
      <c r="A51" s="627" t="s">
        <v>377</v>
      </c>
      <c r="B51" s="627"/>
      <c r="C51" s="627"/>
      <c r="D51" s="627"/>
      <c r="E51" s="627"/>
      <c r="H51" s="628" t="s">
        <v>378</v>
      </c>
      <c r="I51" s="628"/>
      <c r="J51" s="628"/>
    </row>
    <row r="52" spans="1:9" ht="20.25">
      <c r="A52" s="487"/>
      <c r="B52" s="451"/>
      <c r="C52" s="451"/>
      <c r="D52" s="451"/>
      <c r="E52" s="451"/>
      <c r="F52" s="451"/>
      <c r="G52" s="451"/>
      <c r="H52" s="617"/>
      <c r="I52" s="617"/>
    </row>
    <row r="53" spans="1:9" ht="15">
      <c r="A53" s="451"/>
      <c r="B53" s="451"/>
      <c r="C53" s="451"/>
      <c r="D53" s="451"/>
      <c r="E53" s="451"/>
      <c r="F53" s="451"/>
      <c r="G53" s="451"/>
      <c r="H53" s="451"/>
      <c r="I53" s="451"/>
    </row>
    <row r="54" spans="1:19" ht="20.25">
      <c r="A54" s="487"/>
      <c r="B54" s="487"/>
      <c r="C54" s="487"/>
      <c r="D54" s="487"/>
      <c r="E54" s="487"/>
      <c r="F54" s="487"/>
      <c r="G54" s="487"/>
      <c r="H54" s="487"/>
      <c r="I54" s="487"/>
      <c r="J54" s="488"/>
      <c r="K54" s="488"/>
      <c r="L54" s="488"/>
      <c r="O54" s="488"/>
      <c r="P54" s="488"/>
      <c r="Q54" s="488"/>
      <c r="R54" s="488"/>
      <c r="S54" s="488"/>
    </row>
    <row r="55" spans="1:9" ht="15">
      <c r="A55" s="451"/>
      <c r="B55" s="451"/>
      <c r="C55" s="451"/>
      <c r="D55" s="451"/>
      <c r="E55" s="451"/>
      <c r="F55" s="451"/>
      <c r="G55" s="451"/>
      <c r="H55" s="451"/>
      <c r="I55" s="451"/>
    </row>
  </sheetData>
  <sheetProtection selectLockedCells="1" selectUnlockedCells="1"/>
  <mergeCells count="16">
    <mergeCell ref="O9:P9"/>
    <mergeCell ref="Q9:R9"/>
    <mergeCell ref="A51:E51"/>
    <mergeCell ref="H51:J51"/>
    <mergeCell ref="I9:J9"/>
    <mergeCell ref="K9:L9"/>
    <mergeCell ref="M9:N9"/>
    <mergeCell ref="H52:I52"/>
    <mergeCell ref="A6:J6"/>
    <mergeCell ref="A7:J7"/>
    <mergeCell ref="A9:A10"/>
    <mergeCell ref="B9:B10"/>
    <mergeCell ref="C9:D9"/>
    <mergeCell ref="E9:F9"/>
    <mergeCell ref="G9:H9"/>
    <mergeCell ref="B8:H8"/>
  </mergeCells>
  <printOptions horizontalCentered="1"/>
  <pageMargins left="0" right="0" top="0" bottom="0" header="0" footer="0"/>
  <pageSetup horizontalDpi="600" verticalDpi="600" orientation="portrait" paperSize="9" scale="77" r:id="rId1"/>
  <colBreaks count="1" manualBreakCount="1">
    <brk id="6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2014-07-03T13:41:05Z</cp:lastPrinted>
  <dcterms:created xsi:type="dcterms:W3CDTF">2006-09-16T00:00:00Z</dcterms:created>
  <dcterms:modified xsi:type="dcterms:W3CDTF">2017-12-08T08:38:50Z</dcterms:modified>
  <cp:category/>
  <cp:version/>
  <cp:contentType/>
  <cp:contentStatus/>
</cp:coreProperties>
</file>