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таб4" sheetId="1" r:id="rId1"/>
    <sheet name="таб1-2" sheetId="2" r:id="rId2"/>
    <sheet name="пояснення" sheetId="3" r:id="rId3"/>
    <sheet name="собіварт в фін.план." sheetId="4" r:id="rId4"/>
    <sheet name="2019рік" sheetId="5" r:id="rId5"/>
  </sheets>
  <definedNames/>
  <calcPr fullCalcOnLoad="1" fullPrecision="0"/>
</workbook>
</file>

<file path=xl/sharedStrings.xml><?xml version="1.0" encoding="utf-8"?>
<sst xmlns="http://schemas.openxmlformats.org/spreadsheetml/2006/main" count="437" uniqueCount="359">
  <si>
    <t xml:space="preserve">                  Погоджено </t>
  </si>
  <si>
    <t xml:space="preserve">                     Затверджено </t>
  </si>
  <si>
    <t>РІК</t>
  </si>
  <si>
    <t>Підприємство   Кузнецовське міське комунальне  підприємство</t>
  </si>
  <si>
    <t>за ЄДРПОУ</t>
  </si>
  <si>
    <t>Організаційно-правова форма</t>
  </si>
  <si>
    <t>комунальна</t>
  </si>
  <si>
    <t>за КОПФГ</t>
  </si>
  <si>
    <t>Територія</t>
  </si>
  <si>
    <t>за КОАТУУ</t>
  </si>
  <si>
    <t>за СПОДУ</t>
  </si>
  <si>
    <t>Галузь</t>
  </si>
  <si>
    <t>Вид економічної діяльності</t>
  </si>
  <si>
    <t>за  КВЕД</t>
  </si>
  <si>
    <t xml:space="preserve">Одиниця виміру; </t>
  </si>
  <si>
    <t>тис.грн.</t>
  </si>
  <si>
    <t>Форма власності</t>
  </si>
  <si>
    <t>Чисельність працівників</t>
  </si>
  <si>
    <t>Місцезнаходження</t>
  </si>
  <si>
    <t>Прізвище та ініціали керівника</t>
  </si>
  <si>
    <t xml:space="preserve">ФІНАНСОВИЙ ПЛАН ПІДПРИЄМСТВА </t>
  </si>
  <si>
    <t>Основні фінансові показники підприємства</t>
  </si>
  <si>
    <t xml:space="preserve">I. Формування прибутку підприємства </t>
  </si>
  <si>
    <t xml:space="preserve"> </t>
  </si>
  <si>
    <t>Код</t>
  </si>
  <si>
    <t>Довідка:</t>
  </si>
  <si>
    <t>Плановий</t>
  </si>
  <si>
    <t>рядка</t>
  </si>
  <si>
    <t>факт</t>
  </si>
  <si>
    <t>план</t>
  </si>
  <si>
    <t>рік</t>
  </si>
  <si>
    <t>I</t>
  </si>
  <si>
    <t>II</t>
  </si>
  <si>
    <t>III</t>
  </si>
  <si>
    <t>IV</t>
  </si>
  <si>
    <t>минулого</t>
  </si>
  <si>
    <t>поточного</t>
  </si>
  <si>
    <t>усього</t>
  </si>
  <si>
    <t>року</t>
  </si>
  <si>
    <t>квартал</t>
  </si>
  <si>
    <t>Доходи</t>
  </si>
  <si>
    <t xml:space="preserve">Дохід (виручка) від реалізації продукції (товарів, робіт, послуг) </t>
  </si>
  <si>
    <t xml:space="preserve">податок на додану вартість </t>
  </si>
  <si>
    <t xml:space="preserve">Чистий дохід (виручка) від реалізації продукції (товарів, робіт, послуг) (розшифрування) </t>
  </si>
  <si>
    <t xml:space="preserve">Інші операційні доходи (розшифрування) </t>
  </si>
  <si>
    <t xml:space="preserve">Дохід від участі в капіталі (розшифрування) </t>
  </si>
  <si>
    <t xml:space="preserve">Інші фінансові доходи (розшифрування) </t>
  </si>
  <si>
    <t>Усього доходів :</t>
  </si>
  <si>
    <t xml:space="preserve">Витрати </t>
  </si>
  <si>
    <t xml:space="preserve">Собівартість реалізованої продукції (товарів, робіт та послуг) (розшифрування) </t>
  </si>
  <si>
    <t xml:space="preserve">витрати на консалтингові послуги </t>
  </si>
  <si>
    <t xml:space="preserve">витрати на страхові послуги </t>
  </si>
  <si>
    <t xml:space="preserve">витрати на аудиторські послуги </t>
  </si>
  <si>
    <t xml:space="preserve">Інші адміністративні витрати (розшифрування) </t>
  </si>
  <si>
    <t xml:space="preserve">Витрати на збут (розшифрування) </t>
  </si>
  <si>
    <t xml:space="preserve">Інші операційні витрати (розшифрування) </t>
  </si>
  <si>
    <t xml:space="preserve">Фінансові витрати (розшифрування) </t>
  </si>
  <si>
    <t xml:space="preserve">Втрати від участі в капіталі (розшифрування) </t>
  </si>
  <si>
    <t xml:space="preserve">Податок на прибуток від звичайної діяльності </t>
  </si>
  <si>
    <t>Усього витрати :</t>
  </si>
  <si>
    <t xml:space="preserve">Фінансові результати діяльності: </t>
  </si>
  <si>
    <t xml:space="preserve">Валовий прибуток (збиток) </t>
  </si>
  <si>
    <t xml:space="preserve">Фінансовий результат від операційної діяльності </t>
  </si>
  <si>
    <t xml:space="preserve">Фінансовий результат від звичайної діяльності до оподаткування </t>
  </si>
  <si>
    <t xml:space="preserve">Частка меншості </t>
  </si>
  <si>
    <t xml:space="preserve">Чистий прибуток (збиток), у тому числі: </t>
  </si>
  <si>
    <t xml:space="preserve">прибуток </t>
  </si>
  <si>
    <t xml:space="preserve">збиток </t>
  </si>
  <si>
    <t xml:space="preserve">II. Розподіл чистого прибутку </t>
  </si>
  <si>
    <t xml:space="preserve">Х </t>
  </si>
  <si>
    <t xml:space="preserve">Розвиток виробництва: </t>
  </si>
  <si>
    <t xml:space="preserve">у тому числі за основними видами діяльності згідно з КВЕД </t>
  </si>
  <si>
    <t xml:space="preserve">Резервний фонд </t>
  </si>
  <si>
    <t xml:space="preserve">Інші фонди (розшифрувати) </t>
  </si>
  <si>
    <t xml:space="preserve">Сплата поточних податків та обов'язкових платежів до бюджету, у тому числі: </t>
  </si>
  <si>
    <t xml:space="preserve">податок на прибуток </t>
  </si>
  <si>
    <t xml:space="preserve">акцизний збір </t>
  </si>
  <si>
    <t xml:space="preserve">ПДВ, що підлягає сплаті до бюджету за підсумками звітного періоду </t>
  </si>
  <si>
    <t xml:space="preserve">ПДВ, що підлягає відшкодуванню з бюджету за підсумками звітного періоду </t>
  </si>
  <si>
    <t xml:space="preserve">рентні платежі </t>
  </si>
  <si>
    <t xml:space="preserve">ресурсні платежі </t>
  </si>
  <si>
    <t xml:space="preserve">Інші податки (розшифрувати) </t>
  </si>
  <si>
    <t xml:space="preserve">Погашення податкової заборгованості, у тому числі: </t>
  </si>
  <si>
    <t xml:space="preserve">до державних цільових фондів </t>
  </si>
  <si>
    <t xml:space="preserve">неустойки (штрафи, пені) </t>
  </si>
  <si>
    <t xml:space="preserve">Внески до державних цільових фондів, у тому числі: </t>
  </si>
  <si>
    <t xml:space="preserve">внески до Пенсійного фонду України </t>
  </si>
  <si>
    <t xml:space="preserve">внески до фондів соціального страхування </t>
  </si>
  <si>
    <t xml:space="preserve">Інші обов'язкові платежі, у тому числі: </t>
  </si>
  <si>
    <t xml:space="preserve">місцеві податки та збори </t>
  </si>
  <si>
    <t xml:space="preserve">інші платежі (розшифрувати) </t>
  </si>
  <si>
    <t xml:space="preserve">                                      У тому числі </t>
  </si>
  <si>
    <t xml:space="preserve">             III. Обов'язкові платежі підприємства до бюджету та державних цільових фондів </t>
  </si>
  <si>
    <t>Таблиця 1</t>
  </si>
  <si>
    <t>Код рядка</t>
  </si>
  <si>
    <t xml:space="preserve"> Факт минулого року</t>
  </si>
  <si>
    <t xml:space="preserve"> Фінансовий план поточного року</t>
  </si>
  <si>
    <t>Плановий рік (усього)</t>
  </si>
  <si>
    <t xml:space="preserve">І </t>
  </si>
  <si>
    <t xml:space="preserve">ІІ   </t>
  </si>
  <si>
    <t xml:space="preserve">ІІІ </t>
  </si>
  <si>
    <t xml:space="preserve">ІV </t>
  </si>
  <si>
    <t>Матеріальні затрати, у тому числі:</t>
  </si>
  <si>
    <t>001/1</t>
  </si>
  <si>
    <t>витрати  на паливо та енергію</t>
  </si>
  <si>
    <t>001/2</t>
  </si>
  <si>
    <t xml:space="preserve">Витрати на оплату праці </t>
  </si>
  <si>
    <t xml:space="preserve">Амортизація </t>
  </si>
  <si>
    <t>Інші операційні витрати</t>
  </si>
  <si>
    <t>Операційні витрати, усього</t>
  </si>
  <si>
    <t>Таблиця 2</t>
  </si>
  <si>
    <t xml:space="preserve">Капітальні інвестиції, усього у тому числі: </t>
  </si>
  <si>
    <t xml:space="preserve">придбання ( виготовлення ) інших необоротних матеріальних активів </t>
  </si>
  <si>
    <t>001/3</t>
  </si>
  <si>
    <t xml:space="preserve">придбання  ( створення ) нематеріальних активів </t>
  </si>
  <si>
    <t>001/4</t>
  </si>
  <si>
    <t>модернізація, модифікація             ( добудова,  дообладнання, реконструкція ) основних засобів</t>
  </si>
  <si>
    <t>001/5</t>
  </si>
  <si>
    <t>капітальний ремонт</t>
  </si>
  <si>
    <t>001/6</t>
  </si>
  <si>
    <t>витрати на сировину і основні матер.</t>
  </si>
  <si>
    <t xml:space="preserve">     у тому числі за кварталами</t>
  </si>
  <si>
    <t xml:space="preserve">                                      у тому числі за кварталами</t>
  </si>
  <si>
    <t>Таблиця 4</t>
  </si>
  <si>
    <t xml:space="preserve">  План поточного року</t>
  </si>
  <si>
    <t>у тому числі за кварталами</t>
  </si>
  <si>
    <t>Надходження грошових коштів від основної діяльності</t>
  </si>
  <si>
    <t>Виручка від реалізації продукції ( товарів, робіт, послуг )</t>
  </si>
  <si>
    <t xml:space="preserve">Цільове фінансування </t>
  </si>
  <si>
    <t>Аванси одержані</t>
  </si>
  <si>
    <t>Інші надходження                                                                                                                                                                                                                                                                                        (розшифрувати )</t>
  </si>
  <si>
    <t>Надходження грошових коштів від інвестиційної діяльності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</si>
  <si>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</si>
  <si>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</si>
  <si>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Надходження від продажу акцій та облігацій </t>
  </si>
  <si>
    <t>Інші надходження                                                                                                                                                                                                                                                                                 (розшифрувати )</t>
  </si>
  <si>
    <t xml:space="preserve">Надходження грошових коштів від фінансової діяльності </t>
  </si>
  <si>
    <t>Видатки  грошових коштів основної діяльності</t>
  </si>
  <si>
    <t xml:space="preserve">Розрахунки з оплати праці     </t>
  </si>
  <si>
    <t>Платежі  в бюджет                                                                                                                                                                                                                                                                                (розшифрувати )</t>
  </si>
  <si>
    <t>Інші витрати                                                                                                                                                                                                                                                                                     (розшифрувати )</t>
  </si>
  <si>
    <t>Видатки  грошових коштів інвестиційної  діяльності</t>
  </si>
  <si>
    <t xml:space="preserve">Придбання основних засобів </t>
  </si>
  <si>
    <t>Капітальне будівництво</t>
  </si>
  <si>
    <t xml:space="preserve">Придбання нематеріальних активів </t>
  </si>
  <si>
    <t>Придбання акцій та облігацій</t>
  </si>
  <si>
    <t>Видатки грошових коштів фінансової діяльності</t>
  </si>
  <si>
    <t xml:space="preserve">Сплата дивідендів </t>
  </si>
  <si>
    <t>Грошові кошти:</t>
  </si>
  <si>
    <t>на початок періоду</t>
  </si>
  <si>
    <t>на кінець періоду</t>
  </si>
  <si>
    <t>Чистий грошовий потік</t>
  </si>
  <si>
    <t>Розрахунки за продукцію ( товари, роботи та послуги )</t>
  </si>
  <si>
    <t>Інші витрати (розшифрувати 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</si>
  <si>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</si>
  <si>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</si>
  <si>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</si>
  <si>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</si>
  <si>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</si>
  <si>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</si>
  <si>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</si>
  <si>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</si>
  <si>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</si>
  <si>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</si>
  <si>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</si>
  <si>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</si>
  <si>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</si>
  <si>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</si>
  <si>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</si>
  <si>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</si>
  <si>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</si>
  <si>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</si>
  <si>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</si>
  <si>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</si>
  <si>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</si>
  <si>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</si>
  <si>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</si>
  <si>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</si>
  <si>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</si>
  <si>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</si>
  <si>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</si>
  <si>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</si>
  <si>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</si>
  <si>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</si>
  <si>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</si>
  <si>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</si>
  <si>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 xml:space="preserve">  Елементи операційних витрат</t>
  </si>
  <si>
    <t xml:space="preserve">          Капітальні   інвестиції</t>
  </si>
  <si>
    <t xml:space="preserve">                     Кузнецовського міського комунального підприємства </t>
  </si>
  <si>
    <t>Відрахув. на соціальні заходи</t>
  </si>
  <si>
    <t>тис.грн</t>
  </si>
  <si>
    <t>витрати, пов'язані з використанням службових автомобілів</t>
  </si>
  <si>
    <t>Адміністративні витрати, усього, у тому числі:</t>
  </si>
  <si>
    <t>Надзвичайні витрати  ( невідшкодовані збитки)</t>
  </si>
  <si>
    <t>Водовідведення</t>
  </si>
  <si>
    <t>Водопостачання</t>
  </si>
  <si>
    <t>Захоронення побутових відходів</t>
  </si>
  <si>
    <t>Теплопостачання</t>
  </si>
  <si>
    <t>Разом</t>
  </si>
  <si>
    <t>037/1</t>
  </si>
  <si>
    <t>037/2</t>
  </si>
  <si>
    <t>037/3</t>
  </si>
  <si>
    <t xml:space="preserve">037/4 </t>
  </si>
  <si>
    <t xml:space="preserve">037/5 </t>
  </si>
  <si>
    <t xml:space="preserve">037/6 </t>
  </si>
  <si>
    <t xml:space="preserve">037/7 </t>
  </si>
  <si>
    <t>відрахування частини чистого прибутку державними підприємствами</t>
  </si>
  <si>
    <t>відрахування частини чистого прибуткудо фонду на виплату дивідендів  господарськими товариствами</t>
  </si>
  <si>
    <t>037/7 /2</t>
  </si>
  <si>
    <t>037/7 /1</t>
  </si>
  <si>
    <t>погашення реструктуризованих та відстрочених сум, що підлягають сплаті у поточному році: до бюджету</t>
  </si>
  <si>
    <t>0,38/1</t>
  </si>
  <si>
    <t>0,38/2</t>
  </si>
  <si>
    <t>0,38/3</t>
  </si>
  <si>
    <t>0,39/2</t>
  </si>
  <si>
    <t>0,39/1</t>
  </si>
  <si>
    <t>040/1</t>
  </si>
  <si>
    <t>040/2</t>
  </si>
  <si>
    <t xml:space="preserve">Відрахування частини чистого  прибутку до державного бюджету: </t>
  </si>
  <si>
    <t>державними унітарними підприємствами та їх обєднаннями</t>
  </si>
  <si>
    <t>Відрахування до фонду на виплату дивідендів:</t>
  </si>
  <si>
    <t>господарськими товариствами,  у статутному фонді яких 50 % акцій(часток,паїв)належать державі  за нормативами, установленими в поточному році, за результатами фінансово-господарської діяльності за минулий рік</t>
  </si>
  <si>
    <t>господарськими товариствами, у статутному фонді яких 50 % акцій(часток,паїв) належать державі</t>
  </si>
  <si>
    <t xml:space="preserve">у т. ч. на державну частку </t>
  </si>
  <si>
    <t>довідково :відрахування до фонду на виплату дивідендів:господарськими товариствами,  у статутному фонді яких 50 % акцій(часток,паїв)належать державі  за нормативами, установленими в поточному році,від чистого прибутку планового року</t>
  </si>
  <si>
    <t>Залишок нерозподіленого прибутку (непокритого збитку) на початок звітного періоду</t>
  </si>
  <si>
    <t xml:space="preserve">Інші цілі (розшифрувати) </t>
  </si>
  <si>
    <t>Залишок нерозподіленого прибутку (непокритого збитку) на  кінець звітного періоду</t>
  </si>
  <si>
    <t>028/1</t>
  </si>
  <si>
    <t>028/2</t>
  </si>
  <si>
    <t>029/1</t>
  </si>
  <si>
    <t>029/2</t>
  </si>
  <si>
    <t>032/1</t>
  </si>
  <si>
    <t xml:space="preserve">Акцизний збір </t>
  </si>
  <si>
    <t xml:space="preserve">Інші непрямі податки (розшифрування) </t>
  </si>
  <si>
    <t>Надзвичайні доходи (відшкодування збитків від надзвичайних ситуацій,стихійного лиха,пожеж, техногенних аварій)</t>
  </si>
  <si>
    <t>Інші вирахування з доходу (розшифрувати)</t>
  </si>
  <si>
    <t>014/1</t>
  </si>
  <si>
    <t>014/2</t>
  </si>
  <si>
    <t>014/3</t>
  </si>
  <si>
    <t>014/4</t>
  </si>
  <si>
    <t>014/5</t>
  </si>
  <si>
    <t>027/1</t>
  </si>
  <si>
    <t>027/2</t>
  </si>
  <si>
    <t>Інші операційні   доходи   (ряд 007)</t>
  </si>
  <si>
    <t>Чистий дохід  (ряд 006)</t>
  </si>
  <si>
    <t>Собівартість  (ряд 013)</t>
  </si>
  <si>
    <t>Витрати на збут  (ряд. 015)</t>
  </si>
  <si>
    <t>_матеріали</t>
  </si>
  <si>
    <t>_основна і додаткова зарплата</t>
  </si>
  <si>
    <t>_відрахування на соціальні заходи</t>
  </si>
  <si>
    <t>_винагорода по квартплаті</t>
  </si>
  <si>
    <t>_відрядні</t>
  </si>
  <si>
    <t>_послуги зв"язку</t>
  </si>
  <si>
    <t>Інші операційні   витрати   (ряд 016)</t>
  </si>
  <si>
    <t>Адміністративні витрати  (ряд.014/5)</t>
  </si>
  <si>
    <t>_відряджувальні витрати(проживання)</t>
  </si>
  <si>
    <t>_послуги банку,розрах ,касове обсл.</t>
  </si>
  <si>
    <t>_охорона об"єктів(адмін.приміщення)</t>
  </si>
  <si>
    <t>Всього витрат :</t>
  </si>
  <si>
    <t xml:space="preserve">       економіки</t>
  </si>
  <si>
    <t xml:space="preserve">                                                ПОЯСНЮВАЛЬНА  ЗАПИСКА</t>
  </si>
  <si>
    <t xml:space="preserve">в I кварталі  </t>
  </si>
  <si>
    <t xml:space="preserve">в I Iкварталі  </t>
  </si>
  <si>
    <t xml:space="preserve">в III кварталі  </t>
  </si>
  <si>
    <t xml:space="preserve">в IV кварталі  </t>
  </si>
  <si>
    <t>Повернення короткост.кредитів</t>
  </si>
  <si>
    <t xml:space="preserve">Отримання  короткостр. кредитів </t>
  </si>
  <si>
    <t xml:space="preserve">Отримання  довгостр. кредитів </t>
  </si>
  <si>
    <t>Повернення довгостр. кредитів</t>
  </si>
  <si>
    <t>Інші доходи</t>
  </si>
  <si>
    <t>_матеріали  (в.т.ч канцтовари, ТЗВ)</t>
  </si>
  <si>
    <t>_земельний податок</t>
  </si>
  <si>
    <t>Бюджетні кошти в т.ч :</t>
  </si>
  <si>
    <t>_амортизація</t>
  </si>
  <si>
    <t>Інша діяльність</t>
  </si>
  <si>
    <t>_судовий збір</t>
  </si>
  <si>
    <t>_супровід програмного забезпечення</t>
  </si>
  <si>
    <t>Вивезення   побутових відходів</t>
  </si>
  <si>
    <t>Вивезення  побутових відходів</t>
  </si>
  <si>
    <t xml:space="preserve">Інші доходи (амортизація) </t>
  </si>
  <si>
    <t xml:space="preserve">Інші витрати (амортизація) </t>
  </si>
  <si>
    <t>_підготовка та перепідготовка кадрів</t>
  </si>
  <si>
    <t>Інша  діяльність</t>
  </si>
  <si>
    <t>Прогнозо-ваний рух коштів на кінець поточного року</t>
  </si>
  <si>
    <t>_знос МШП</t>
  </si>
  <si>
    <t>_основна і додаткова заробітна плата</t>
  </si>
  <si>
    <t>_марки</t>
  </si>
  <si>
    <t>_консультац. (інформ.,нотаріальні, юридичні)</t>
  </si>
  <si>
    <t>Капітальні інвестиції  у матеріальні активи</t>
  </si>
  <si>
    <t>Капітальні інвестиції  у нематеріальні активи</t>
  </si>
  <si>
    <t>Інші  витрати в  т .числі:</t>
  </si>
  <si>
    <t>Начальник ПЕВ                                             Коробка О.О.</t>
  </si>
  <si>
    <t xml:space="preserve">Телефон   </t>
  </si>
  <si>
    <t>_періодичні видання</t>
  </si>
  <si>
    <t>Вараська  міська рада</t>
  </si>
  <si>
    <t>Постачання пари,гарячої води та</t>
  </si>
  <si>
    <t>кондиційованого повітря</t>
  </si>
  <si>
    <t>Орган державного управління :</t>
  </si>
  <si>
    <t>_забезпечити беззбиткову поточну діяльність підприємства;</t>
  </si>
  <si>
    <t>_забезпечити погашення простроченої кредиторської заборгованності підприємства;</t>
  </si>
  <si>
    <t>підприємство: послуги автотранспорту, інша діяльність .</t>
  </si>
  <si>
    <t xml:space="preserve">         Формування доходів планується  за рахунок надання послуг  по тарифах ,що забезпечують</t>
  </si>
  <si>
    <t xml:space="preserve">вик.Концевич Н.І. </t>
  </si>
  <si>
    <t>2019р</t>
  </si>
  <si>
    <t>2-38-65</t>
  </si>
  <si>
    <t xml:space="preserve">  на  2019 рік</t>
  </si>
  <si>
    <t xml:space="preserve">сторожа </t>
  </si>
  <si>
    <t>_витрати на комунальні послуги</t>
  </si>
  <si>
    <t>Інші витрати  в.т.числі:</t>
  </si>
  <si>
    <t>_знос  основних засобів (ремонт)</t>
  </si>
  <si>
    <t>м.Вараш</t>
  </si>
  <si>
    <t xml:space="preserve">                       Т.в.о директора   КМКП</t>
  </si>
  <si>
    <t>Устич О.А.</t>
  </si>
  <si>
    <t xml:space="preserve">        на 2019р.</t>
  </si>
  <si>
    <t xml:space="preserve">                  Т.в.о директора</t>
  </si>
  <si>
    <t>вик. Концевич Н.І.</t>
  </si>
  <si>
    <t xml:space="preserve">                 Рух грошових коштів   2019р.</t>
  </si>
  <si>
    <t>Модернізація (реконструкція) теплових мереж  міста</t>
  </si>
  <si>
    <t>Придбання матеріалів для теплових мереж  міста</t>
  </si>
  <si>
    <t>Поточний ремонт каналізаційних мереж</t>
  </si>
  <si>
    <t>Поточний ремонт мереж водопостачання</t>
  </si>
  <si>
    <t>Придбання  матеріалів для водопровідних мереж</t>
  </si>
  <si>
    <t>Придбання обладнання водозабірних скважин та КНС</t>
  </si>
  <si>
    <t>вик.Концевич  Н.І.</t>
  </si>
  <si>
    <t xml:space="preserve">                      Розшифровка  доходів до фінансового плану на 2019р.</t>
  </si>
  <si>
    <t xml:space="preserve">                      Розшифровка витрат  до фінансового плану на 2019р.</t>
  </si>
  <si>
    <t>Разом:</t>
  </si>
  <si>
    <t xml:space="preserve">             Т.в.о.директора КМКП</t>
  </si>
  <si>
    <t>Начальник    відділу</t>
  </si>
  <si>
    <t>___________________Барабух І.Р.</t>
  </si>
  <si>
    <t xml:space="preserve">                       В.о начальника  ПЕВ</t>
  </si>
  <si>
    <t>Концевич Н.І.</t>
  </si>
  <si>
    <t xml:space="preserve">_____________Шумра І.В. </t>
  </si>
  <si>
    <t>м.Вараш, м-н Незалежності,2</t>
  </si>
  <si>
    <t>Тзп міського  голови</t>
  </si>
  <si>
    <t xml:space="preserve">              до фінансового плану на 2019 рік.</t>
  </si>
  <si>
    <t xml:space="preserve">        Завданням підприємства на 2019р. є:</t>
  </si>
  <si>
    <t xml:space="preserve">         Діяльність Кузнецовського міського комунального   підприємства пов"язана з наданням </t>
  </si>
  <si>
    <t>веденні,  теплопостачанні, вивезенні  та захороненні твердих побутових відходів.</t>
  </si>
  <si>
    <t>послуг населенню, бюджетним організаціям ,іншим споживачам  по водопостачанні,  водовід-</t>
  </si>
  <si>
    <t xml:space="preserve">        Для цього необхідно встановлення для споживачів тарифів на послуги з  централізовано-</t>
  </si>
  <si>
    <t>го  водопостачання,  водовідведення , теплопостачання  та з вивезення та захоронення  ТПВ</t>
  </si>
  <si>
    <t xml:space="preserve">  витрати.</t>
  </si>
  <si>
    <t xml:space="preserve">         Показники  фінансового  плану  відображають  обсяги  планових  надходжень  коштів з</t>
  </si>
  <si>
    <t xml:space="preserve">метою   забезпечення  потреб    діяльності  та   розвитку   підприємства.  </t>
  </si>
  <si>
    <t xml:space="preserve">          Інші операційн   доходи - це  доходи  від надання  інших послуг , які в змозі  надавати </t>
  </si>
  <si>
    <t>амортизації).</t>
  </si>
  <si>
    <t xml:space="preserve"> ресурсів  , паливо-мастильних матеріалів ,  ріст заробітної плати та інших витрат.</t>
  </si>
  <si>
    <t xml:space="preserve">       Фінансовий результат  згідно  фінансового  плану  280,0 тис.грн прибутку:</t>
  </si>
  <si>
    <t>53 тис.грн.</t>
  </si>
  <si>
    <t>69 тис.грн.</t>
  </si>
  <si>
    <t>76 тис.грн.</t>
  </si>
  <si>
    <t>82 тис.грн.</t>
  </si>
  <si>
    <t xml:space="preserve">                  В.о начальника  ПЕВ</t>
  </si>
  <si>
    <t xml:space="preserve">          Інші  доходи  плануються  від безоплатно  отриманих  активів  ( в частині  нарахування</t>
  </si>
  <si>
    <t xml:space="preserve">             При  плануванні  собівартості  реалізованих  послуг  враховані  зростання  вартості  </t>
  </si>
  <si>
    <t xml:space="preserve">(або дотацій з місцевого бюджету), які  б  відшкодовували   економічно  обгрунтовані поточні </t>
  </si>
  <si>
    <t xml:space="preserve">100% відшкодування витрат. 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</si>
</sst>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0"/>
    <numFmt numFmtId="199" formatCode="0.0000"/>
    <numFmt numFmtId="200" formatCode="0.000000"/>
    <numFmt numFmtId="201" formatCode="0.0000000"/>
    <numFmt numFmtId="202" formatCode="0.0000E+00"/>
    <numFmt numFmtId="203" formatCode="0.000E+00"/>
    <numFmt numFmtId="204" formatCode="0.0E+00"/>
    <numFmt numFmtId="205" formatCode="0E+00"/>
    <numFmt numFmtId="206" formatCode="0.00000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31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0" fillId="0" borderId="11" xfId="0" applyBorder="1" applyAlignment="1">
      <alignment wrapText="1"/>
    </xf>
    <xf numFmtId="0" fontId="1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3" fontId="0" fillId="0" borderId="0" xfId="0" applyNumberForma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96" fontId="0" fillId="0" borderId="0" xfId="0" applyNumberFormat="1" applyAlignment="1">
      <alignment/>
    </xf>
    <xf numFmtId="196" fontId="0" fillId="0" borderId="0" xfId="0" applyNumberFormat="1" applyBorder="1" applyAlignment="1">
      <alignment/>
    </xf>
    <xf numFmtId="0" fontId="8" fillId="0" borderId="0" xfId="0" applyFon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8" fillId="0" borderId="0" xfId="0" applyFont="1" applyAlignment="1">
      <alignment/>
    </xf>
    <xf numFmtId="173" fontId="7" fillId="0" borderId="0" xfId="0" applyNumberFormat="1" applyFont="1" applyAlignment="1">
      <alignment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5" fillId="0" borderId="11" xfId="0" applyFont="1" applyBorder="1" applyAlignment="1">
      <alignment/>
    </xf>
    <xf numFmtId="0" fontId="0" fillId="0" borderId="18" xfId="0" applyBorder="1" applyAlignment="1">
      <alignment horizontal="center" wrapText="1"/>
    </xf>
    <xf numFmtId="1" fontId="0" fillId="0" borderId="18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2" fillId="0" borderId="18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6" fillId="0" borderId="10" xfId="0" applyFont="1" applyBorder="1" applyAlignment="1">
      <alignment/>
    </xf>
    <xf numFmtId="173" fontId="6" fillId="0" borderId="13" xfId="0" applyNumberFormat="1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8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9" xfId="0" applyFont="1" applyBorder="1" applyAlignment="1">
      <alignment/>
    </xf>
    <xf numFmtId="1" fontId="6" fillId="0" borderId="17" xfId="0" applyNumberFormat="1" applyFont="1" applyBorder="1" applyAlignment="1">
      <alignment/>
    </xf>
    <xf numFmtId="0" fontId="6" fillId="0" borderId="22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1" fontId="6" fillId="0" borderId="15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1" fontId="6" fillId="0" borderId="11" xfId="0" applyNumberFormat="1" applyFont="1" applyFill="1" applyBorder="1" applyAlignment="1">
      <alignment/>
    </xf>
    <xf numFmtId="0" fontId="6" fillId="0" borderId="18" xfId="0" applyFont="1" applyBorder="1" applyAlignment="1">
      <alignment horizontal="left" wrapText="1"/>
    </xf>
    <xf numFmtId="1" fontId="6" fillId="0" borderId="17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" fontId="0" fillId="0" borderId="18" xfId="0" applyNumberFormat="1" applyFill="1" applyBorder="1" applyAlignment="1">
      <alignment/>
    </xf>
    <xf numFmtId="1" fontId="7" fillId="0" borderId="0" xfId="0" applyNumberFormat="1" applyFont="1" applyAlignment="1">
      <alignment/>
    </xf>
    <xf numFmtId="1" fontId="0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7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8" xfId="0" applyFill="1" applyBorder="1" applyAlignment="1">
      <alignment/>
    </xf>
    <xf numFmtId="196" fontId="0" fillId="0" borderId="18" xfId="0" applyNumberFormat="1" applyBorder="1" applyAlignment="1">
      <alignment/>
    </xf>
    <xf numFmtId="16" fontId="0" fillId="0" borderId="18" xfId="0" applyNumberForma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 indent="1"/>
    </xf>
    <xf numFmtId="9" fontId="0" fillId="0" borderId="0" xfId="0" applyNumberFormat="1" applyBorder="1" applyAlignment="1">
      <alignment/>
    </xf>
    <xf numFmtId="0" fontId="6" fillId="0" borderId="18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4" fillId="0" borderId="23" xfId="0" applyFont="1" applyBorder="1" applyAlignment="1">
      <alignment horizontal="left" indent="2"/>
    </xf>
    <xf numFmtId="0" fontId="4" fillId="0" borderId="13" xfId="0" applyFont="1" applyBorder="1" applyAlignment="1">
      <alignment horizontal="left" indent="2"/>
    </xf>
    <xf numFmtId="0" fontId="4" fillId="0" borderId="14" xfId="0" applyFont="1" applyBorder="1" applyAlignment="1">
      <alignment horizontal="left" indent="2"/>
    </xf>
    <xf numFmtId="49" fontId="4" fillId="0" borderId="15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196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2" fontId="1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94" fontId="6" fillId="0" borderId="10" xfId="42" applyFont="1" applyBorder="1" applyAlignment="1">
      <alignment horizontal="center" wrapText="1"/>
    </xf>
    <xf numFmtId="194" fontId="6" fillId="0" borderId="12" xfId="42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center"/>
    </xf>
    <xf numFmtId="173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/>
    </xf>
    <xf numFmtId="1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="160" zoomScaleNormal="160" zoomScalePageLayoutView="0" workbookViewId="0" topLeftCell="A25">
      <selection activeCell="N8" sqref="N8"/>
    </sheetView>
  </sheetViews>
  <sheetFormatPr defaultColWidth="9.140625" defaultRowHeight="12.75"/>
  <cols>
    <col min="1" max="1" width="0.9921875" style="0" customWidth="1"/>
    <col min="2" max="2" width="21.00390625" style="0" customWidth="1"/>
    <col min="3" max="3" width="5.57421875" style="32" customWidth="1"/>
    <col min="4" max="4" width="8.28125" style="0" customWidth="1"/>
    <col min="5" max="5" width="8.7109375" style="0" customWidth="1"/>
    <col min="6" max="6" width="8.57421875" style="0" customWidth="1"/>
    <col min="8" max="8" width="7.421875" style="0" customWidth="1"/>
    <col min="9" max="9" width="7.7109375" style="0" customWidth="1"/>
    <col min="10" max="10" width="8.00390625" style="0" customWidth="1"/>
    <col min="11" max="11" width="8.57421875" style="0" customWidth="1"/>
  </cols>
  <sheetData>
    <row r="1" ht="12.75">
      <c r="B1" s="90" t="s">
        <v>123</v>
      </c>
    </row>
    <row r="2" ht="15.75">
      <c r="C2" s="88" t="s">
        <v>317</v>
      </c>
    </row>
    <row r="3" spans="5:11" ht="15.75">
      <c r="E3" s="40"/>
      <c r="F3" s="23"/>
      <c r="K3" t="s">
        <v>15</v>
      </c>
    </row>
    <row r="4" spans="1:11" ht="11.25" customHeight="1">
      <c r="A4" s="1"/>
      <c r="B4" s="124"/>
      <c r="C4" s="149" t="s">
        <v>94</v>
      </c>
      <c r="D4" s="147" t="s">
        <v>95</v>
      </c>
      <c r="E4" s="145" t="s">
        <v>124</v>
      </c>
      <c r="F4" s="143" t="s">
        <v>284</v>
      </c>
      <c r="G4" s="143" t="s">
        <v>97</v>
      </c>
      <c r="H4" s="125" t="s">
        <v>125</v>
      </c>
      <c r="I4" s="126"/>
      <c r="J4" s="126"/>
      <c r="K4" s="127"/>
    </row>
    <row r="5" spans="1:11" ht="58.5" customHeight="1">
      <c r="A5" s="3"/>
      <c r="B5" s="128"/>
      <c r="C5" s="144"/>
      <c r="D5" s="148"/>
      <c r="E5" s="146"/>
      <c r="F5" s="150"/>
      <c r="G5" s="144"/>
      <c r="H5" s="129" t="s">
        <v>98</v>
      </c>
      <c r="I5" s="130" t="s">
        <v>99</v>
      </c>
      <c r="J5" s="129" t="s">
        <v>100</v>
      </c>
      <c r="K5" s="129" t="s">
        <v>101</v>
      </c>
    </row>
    <row r="6" spans="1:11" ht="12.75">
      <c r="A6" s="18"/>
      <c r="B6" s="131">
        <v>1</v>
      </c>
      <c r="C6" s="132">
        <v>2</v>
      </c>
      <c r="D6" s="131">
        <v>3</v>
      </c>
      <c r="E6" s="133">
        <v>4</v>
      </c>
      <c r="F6" s="131">
        <v>5</v>
      </c>
      <c r="G6" s="133">
        <v>6</v>
      </c>
      <c r="H6" s="133">
        <v>7</v>
      </c>
      <c r="I6" s="131">
        <v>8</v>
      </c>
      <c r="J6" s="133">
        <v>9</v>
      </c>
      <c r="K6" s="133">
        <v>10</v>
      </c>
    </row>
    <row r="7" spans="1:12" ht="34.5" customHeight="1">
      <c r="A7" s="18"/>
      <c r="B7" s="92" t="s">
        <v>126</v>
      </c>
      <c r="C7" s="38" t="s">
        <v>154</v>
      </c>
      <c r="D7" s="45">
        <f>D8+D9</f>
        <v>67930</v>
      </c>
      <c r="E7" s="45">
        <f>E8+E9</f>
        <v>79779</v>
      </c>
      <c r="F7" s="45">
        <f aca="true" t="shared" si="0" ref="F7:K7">F8+F9</f>
        <v>67930</v>
      </c>
      <c r="G7" s="45">
        <f t="shared" si="0"/>
        <v>80155</v>
      </c>
      <c r="H7" s="45">
        <f t="shared" si="0"/>
        <v>19388</v>
      </c>
      <c r="I7" s="45">
        <f t="shared" si="0"/>
        <v>19888</v>
      </c>
      <c r="J7" s="45">
        <f t="shared" si="0"/>
        <v>20339</v>
      </c>
      <c r="K7" s="45">
        <f t="shared" si="0"/>
        <v>20540</v>
      </c>
      <c r="L7" s="34"/>
    </row>
    <row r="8" spans="1:12" ht="36" customHeight="1">
      <c r="A8" s="2"/>
      <c r="B8" s="93" t="s">
        <v>127</v>
      </c>
      <c r="C8" s="37" t="s">
        <v>155</v>
      </c>
      <c r="D8" s="45">
        <v>42509</v>
      </c>
      <c r="E8" s="45">
        <v>55734</v>
      </c>
      <c r="F8" s="45">
        <f>D8</f>
        <v>42509</v>
      </c>
      <c r="G8" s="45">
        <f>55734-1000</f>
        <v>54734</v>
      </c>
      <c r="H8" s="89">
        <f>13933-350-250</f>
        <v>13333</v>
      </c>
      <c r="I8" s="89">
        <f>13933-150-250</f>
        <v>13533</v>
      </c>
      <c r="J8" s="45">
        <f>13934+150-250</f>
        <v>13834</v>
      </c>
      <c r="K8" s="45">
        <f>13934+350-250</f>
        <v>14034</v>
      </c>
      <c r="L8" s="34"/>
    </row>
    <row r="9" spans="1:12" ht="12.75" customHeight="1">
      <c r="A9" s="18"/>
      <c r="B9" s="94" t="s">
        <v>128</v>
      </c>
      <c r="C9" s="38" t="s">
        <v>156</v>
      </c>
      <c r="D9" s="45">
        <v>25421</v>
      </c>
      <c r="E9" s="45">
        <v>24045</v>
      </c>
      <c r="F9" s="45">
        <f>D9</f>
        <v>25421</v>
      </c>
      <c r="G9" s="45">
        <v>25421</v>
      </c>
      <c r="H9" s="45">
        <f>6011-300+344</f>
        <v>6055</v>
      </c>
      <c r="I9" s="45">
        <f>6011+344</f>
        <v>6355</v>
      </c>
      <c r="J9" s="45">
        <f>6011+150+344</f>
        <v>6505</v>
      </c>
      <c r="K9" s="45">
        <f>6012+150+344</f>
        <v>6506</v>
      </c>
      <c r="L9" s="34"/>
    </row>
    <row r="10" spans="1:12" ht="23.25" customHeight="1">
      <c r="A10" s="2"/>
      <c r="B10" s="93" t="s">
        <v>267</v>
      </c>
      <c r="C10" s="37" t="s">
        <v>157</v>
      </c>
      <c r="D10" s="45">
        <v>0</v>
      </c>
      <c r="E10" s="45">
        <v>600</v>
      </c>
      <c r="F10" s="45">
        <v>0</v>
      </c>
      <c r="G10" s="45">
        <f>H10+I10+J10+K10</f>
        <v>600</v>
      </c>
      <c r="H10" s="45">
        <v>150</v>
      </c>
      <c r="I10" s="45">
        <v>150</v>
      </c>
      <c r="J10" s="45">
        <v>150</v>
      </c>
      <c r="K10" s="45">
        <v>150</v>
      </c>
      <c r="L10" s="34"/>
    </row>
    <row r="11" spans="1:12" ht="12.75" customHeight="1">
      <c r="A11" s="18"/>
      <c r="B11" s="94" t="s">
        <v>129</v>
      </c>
      <c r="C11" s="38" t="s">
        <v>158</v>
      </c>
      <c r="D11" s="45">
        <v>1264</v>
      </c>
      <c r="E11" s="89">
        <v>279</v>
      </c>
      <c r="F11" s="45">
        <f>D11</f>
        <v>1264</v>
      </c>
      <c r="G11" s="89">
        <v>279</v>
      </c>
      <c r="H11" s="45">
        <v>69</v>
      </c>
      <c r="I11" s="45">
        <v>68</v>
      </c>
      <c r="J11" s="45">
        <v>71</v>
      </c>
      <c r="K11" s="45">
        <v>71</v>
      </c>
      <c r="L11" s="34"/>
    </row>
    <row r="12" spans="1:12" ht="12.75" customHeight="1">
      <c r="A12" s="2"/>
      <c r="B12" s="95" t="s">
        <v>130</v>
      </c>
      <c r="C12" s="37" t="s">
        <v>159</v>
      </c>
      <c r="D12" s="45">
        <f>6282+315+1731</f>
        <v>8328</v>
      </c>
      <c r="E12" s="89">
        <v>650</v>
      </c>
      <c r="F12" s="45">
        <f>D12</f>
        <v>8328</v>
      </c>
      <c r="G12" s="89">
        <f>8328</f>
        <v>8328</v>
      </c>
      <c r="H12" s="45">
        <v>2082</v>
      </c>
      <c r="I12" s="45">
        <v>2082</v>
      </c>
      <c r="J12" s="89">
        <v>2082</v>
      </c>
      <c r="K12" s="45">
        <v>2082</v>
      </c>
      <c r="L12" s="34"/>
    </row>
    <row r="13" spans="1:12" ht="33.75" customHeight="1">
      <c r="A13" s="18"/>
      <c r="B13" s="92" t="s">
        <v>131</v>
      </c>
      <c r="C13" s="38" t="s">
        <v>160</v>
      </c>
      <c r="D13" s="45"/>
      <c r="E13" s="45">
        <f>E14+E15+E16+E17</f>
        <v>0</v>
      </c>
      <c r="F13" s="45">
        <v>0</v>
      </c>
      <c r="G13" s="45">
        <f>G14+G15+G16+G17</f>
        <v>0</v>
      </c>
      <c r="H13" s="45">
        <v>0</v>
      </c>
      <c r="I13" s="45">
        <v>0</v>
      </c>
      <c r="J13" s="45">
        <v>0</v>
      </c>
      <c r="K13" s="45">
        <v>0</v>
      </c>
      <c r="L13" s="34"/>
    </row>
    <row r="14" spans="1:12" ht="22.5" customHeight="1">
      <c r="A14" s="2"/>
      <c r="B14" s="93" t="s">
        <v>132</v>
      </c>
      <c r="C14" s="37" t="s">
        <v>161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34"/>
    </row>
    <row r="15" spans="1:12" ht="21" customHeight="1">
      <c r="A15" s="18"/>
      <c r="B15" s="92" t="s">
        <v>133</v>
      </c>
      <c r="C15" s="38" t="s">
        <v>162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34"/>
    </row>
    <row r="16" spans="1:12" ht="21" customHeight="1">
      <c r="A16" s="2"/>
      <c r="B16" s="93" t="s">
        <v>134</v>
      </c>
      <c r="C16" s="37" t="s">
        <v>163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34"/>
    </row>
    <row r="17" spans="1:12" ht="10.5" customHeight="1">
      <c r="A17" s="18"/>
      <c r="B17" s="96" t="s">
        <v>135</v>
      </c>
      <c r="C17" s="38" t="s">
        <v>164</v>
      </c>
      <c r="D17" s="45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34"/>
    </row>
    <row r="18" spans="1:12" ht="32.25" customHeight="1">
      <c r="A18" s="2"/>
      <c r="B18" s="93" t="s">
        <v>136</v>
      </c>
      <c r="C18" s="37" t="s">
        <v>165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34"/>
    </row>
    <row r="19" spans="1:12" ht="21.75" customHeight="1">
      <c r="A19" s="18"/>
      <c r="B19" s="92" t="s">
        <v>268</v>
      </c>
      <c r="C19" s="38" t="s">
        <v>166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34"/>
    </row>
    <row r="20" spans="1:12" ht="12" customHeight="1">
      <c r="A20" s="2"/>
      <c r="B20" s="95" t="s">
        <v>135</v>
      </c>
      <c r="C20" s="37" t="s">
        <v>167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34"/>
    </row>
    <row r="21" spans="1:12" ht="24.75" customHeight="1">
      <c r="A21" s="18"/>
      <c r="B21" s="92" t="s">
        <v>137</v>
      </c>
      <c r="C21" s="38" t="s">
        <v>168</v>
      </c>
      <c r="D21" s="45">
        <f>D22+D23+D25+D26</f>
        <v>84427</v>
      </c>
      <c r="E21" s="45">
        <f aca="true" t="shared" si="1" ref="E21:K21">E22+E23+E24+E25+E26</f>
        <v>50250</v>
      </c>
      <c r="F21" s="45">
        <f t="shared" si="1"/>
        <v>84427</v>
      </c>
      <c r="G21" s="45">
        <f t="shared" si="1"/>
        <v>89837</v>
      </c>
      <c r="H21" s="45">
        <f t="shared" si="1"/>
        <v>22074</v>
      </c>
      <c r="I21" s="45">
        <f t="shared" si="1"/>
        <v>22291</v>
      </c>
      <c r="J21" s="45">
        <f t="shared" si="1"/>
        <v>22430</v>
      </c>
      <c r="K21" s="45">
        <f t="shared" si="1"/>
        <v>23042</v>
      </c>
      <c r="L21" s="34"/>
    </row>
    <row r="22" spans="1:12" ht="22.5" customHeight="1">
      <c r="A22" s="2"/>
      <c r="B22" s="93" t="s">
        <v>152</v>
      </c>
      <c r="C22" s="37" t="s">
        <v>169</v>
      </c>
      <c r="D22" s="45">
        <v>28240</v>
      </c>
      <c r="E22" s="45">
        <v>8396</v>
      </c>
      <c r="F22" s="45">
        <f>D22</f>
        <v>28240</v>
      </c>
      <c r="G22" s="45">
        <v>28240</v>
      </c>
      <c r="H22" s="45">
        <v>7060</v>
      </c>
      <c r="I22" s="45">
        <v>7060</v>
      </c>
      <c r="J22" s="45">
        <v>7060</v>
      </c>
      <c r="K22" s="45">
        <v>7060</v>
      </c>
      <c r="L22" s="34"/>
    </row>
    <row r="23" spans="1:12" ht="10.5" customHeight="1">
      <c r="A23" s="18"/>
      <c r="B23" s="94" t="s">
        <v>138</v>
      </c>
      <c r="C23" s="38" t="s">
        <v>170</v>
      </c>
      <c r="D23" s="45">
        <v>21355</v>
      </c>
      <c r="E23" s="45">
        <v>25238</v>
      </c>
      <c r="F23" s="45">
        <f>D23</f>
        <v>21355</v>
      </c>
      <c r="G23" s="45">
        <f>21355+3600</f>
        <v>24955</v>
      </c>
      <c r="H23" s="45">
        <f>6309-150</f>
        <v>6159</v>
      </c>
      <c r="I23" s="45">
        <f>6309-133</f>
        <v>6176</v>
      </c>
      <c r="J23" s="89">
        <f>6310</f>
        <v>6310</v>
      </c>
      <c r="K23" s="45">
        <f>6310</f>
        <v>6310</v>
      </c>
      <c r="L23" s="34"/>
    </row>
    <row r="24" spans="1:12" ht="23.25" customHeight="1">
      <c r="A24" s="2"/>
      <c r="B24" s="93" t="s">
        <v>266</v>
      </c>
      <c r="C24" s="37" t="s">
        <v>171</v>
      </c>
      <c r="D24" s="45">
        <v>0</v>
      </c>
      <c r="E24" s="45">
        <v>600</v>
      </c>
      <c r="F24" s="45">
        <v>0</v>
      </c>
      <c r="G24" s="45">
        <v>600</v>
      </c>
      <c r="H24" s="45">
        <v>0</v>
      </c>
      <c r="I24" s="45">
        <v>0</v>
      </c>
      <c r="J24" s="45">
        <v>0</v>
      </c>
      <c r="K24" s="45">
        <v>600</v>
      </c>
      <c r="L24" s="34"/>
    </row>
    <row r="25" spans="1:12" ht="13.5" customHeight="1">
      <c r="A25" s="18"/>
      <c r="B25" s="96" t="s">
        <v>139</v>
      </c>
      <c r="C25" s="38" t="s">
        <v>172</v>
      </c>
      <c r="D25" s="45">
        <f>5383+12637+6999+5638</f>
        <v>30657</v>
      </c>
      <c r="E25" s="45">
        <v>5552</v>
      </c>
      <c r="F25" s="45">
        <f>D25</f>
        <v>30657</v>
      </c>
      <c r="G25" s="45">
        <f>30657+792</f>
        <v>31449</v>
      </c>
      <c r="H25" s="45">
        <v>7862</v>
      </c>
      <c r="I25" s="45">
        <v>7862</v>
      </c>
      <c r="J25" s="45">
        <v>7862</v>
      </c>
      <c r="K25" s="45">
        <v>7863</v>
      </c>
      <c r="L25" s="34"/>
    </row>
    <row r="26" spans="1:12" ht="12" customHeight="1">
      <c r="A26" s="2"/>
      <c r="B26" s="95" t="s">
        <v>140</v>
      </c>
      <c r="C26" s="37" t="s">
        <v>173</v>
      </c>
      <c r="D26" s="45">
        <v>4175</v>
      </c>
      <c r="E26" s="45">
        <v>10464</v>
      </c>
      <c r="F26" s="45">
        <f>D26</f>
        <v>4175</v>
      </c>
      <c r="G26" s="45">
        <f>4175+(4175*0.1)</f>
        <v>4593</v>
      </c>
      <c r="H26" s="45">
        <f>1148-155</f>
        <v>993</v>
      </c>
      <c r="I26" s="45">
        <f>1148+45</f>
        <v>1193</v>
      </c>
      <c r="J26" s="45">
        <f>1148+50</f>
        <v>1198</v>
      </c>
      <c r="K26" s="87">
        <f>1148+61</f>
        <v>1209</v>
      </c>
      <c r="L26" s="34"/>
    </row>
    <row r="27" spans="1:12" ht="24.75" customHeight="1">
      <c r="A27" s="18"/>
      <c r="B27" s="92" t="s">
        <v>141</v>
      </c>
      <c r="C27" s="38" t="s">
        <v>174</v>
      </c>
      <c r="D27" s="45">
        <v>0</v>
      </c>
      <c r="E27" s="45">
        <v>5934</v>
      </c>
      <c r="F27" s="45">
        <v>0</v>
      </c>
      <c r="G27" s="45">
        <f>'таб1-2'!F29</f>
        <v>1562</v>
      </c>
      <c r="H27" s="45">
        <v>390</v>
      </c>
      <c r="I27" s="45">
        <v>390</v>
      </c>
      <c r="J27" s="45">
        <v>391</v>
      </c>
      <c r="K27" s="45">
        <v>391</v>
      </c>
      <c r="L27" s="34"/>
    </row>
    <row r="28" spans="1:12" ht="13.5" customHeight="1">
      <c r="A28" s="2"/>
      <c r="B28" s="97" t="s">
        <v>142</v>
      </c>
      <c r="C28" s="37" t="s">
        <v>175</v>
      </c>
      <c r="D28" s="45">
        <v>0</v>
      </c>
      <c r="E28" s="45">
        <v>0</v>
      </c>
      <c r="F28" s="45">
        <v>0</v>
      </c>
      <c r="G28" s="45">
        <f>'таб1-2'!F32</f>
        <v>0</v>
      </c>
      <c r="H28" s="45">
        <v>0</v>
      </c>
      <c r="I28" s="45">
        <v>0</v>
      </c>
      <c r="J28" s="45">
        <v>0</v>
      </c>
      <c r="K28" s="87">
        <v>0</v>
      </c>
      <c r="L28" s="34"/>
    </row>
    <row r="29" spans="1:12" ht="13.5" customHeight="1">
      <c r="A29" s="18"/>
      <c r="B29" s="94" t="s">
        <v>143</v>
      </c>
      <c r="C29" s="38" t="s">
        <v>176</v>
      </c>
      <c r="D29" s="45">
        <v>0</v>
      </c>
      <c r="E29" s="45">
        <v>0</v>
      </c>
      <c r="F29" s="45">
        <v>0</v>
      </c>
      <c r="G29" s="45">
        <f>'таб1-2'!F35</f>
        <v>0</v>
      </c>
      <c r="H29" s="45">
        <v>0</v>
      </c>
      <c r="I29" s="45">
        <v>0</v>
      </c>
      <c r="J29" s="45">
        <v>0</v>
      </c>
      <c r="K29" s="87">
        <v>0</v>
      </c>
      <c r="L29" s="34"/>
    </row>
    <row r="30" spans="1:12" ht="25.5" customHeight="1">
      <c r="A30" s="2"/>
      <c r="B30" s="93" t="s">
        <v>144</v>
      </c>
      <c r="C30" s="37" t="s">
        <v>177</v>
      </c>
      <c r="D30" s="45">
        <v>0</v>
      </c>
      <c r="E30" s="45">
        <v>0</v>
      </c>
      <c r="F30" s="45">
        <v>0</v>
      </c>
      <c r="G30" s="45">
        <f>'таб1-2'!F33</f>
        <v>0</v>
      </c>
      <c r="H30" s="45">
        <v>0</v>
      </c>
      <c r="I30" s="45">
        <v>0</v>
      </c>
      <c r="J30" s="45">
        <v>0</v>
      </c>
      <c r="K30" s="45">
        <v>0</v>
      </c>
      <c r="L30" s="34"/>
    </row>
    <row r="31" spans="1:12" ht="12.75" customHeight="1">
      <c r="A31" s="18"/>
      <c r="B31" s="94" t="s">
        <v>145</v>
      </c>
      <c r="C31" s="38" t="s">
        <v>178</v>
      </c>
      <c r="D31" s="45">
        <v>0</v>
      </c>
      <c r="E31" s="45">
        <v>0</v>
      </c>
      <c r="F31" s="45">
        <v>0</v>
      </c>
      <c r="G31" s="45">
        <f>H31+I31+J31+K31</f>
        <v>0</v>
      </c>
      <c r="H31" s="45">
        <v>0</v>
      </c>
      <c r="I31" s="45">
        <v>0</v>
      </c>
      <c r="J31" s="45">
        <v>0</v>
      </c>
      <c r="K31" s="87">
        <v>0</v>
      </c>
      <c r="L31" s="34"/>
    </row>
    <row r="32" spans="1:13" ht="12.75" customHeight="1">
      <c r="A32" s="2"/>
      <c r="B32" s="97" t="s">
        <v>153</v>
      </c>
      <c r="C32" s="37" t="s">
        <v>179</v>
      </c>
      <c r="D32" s="45">
        <v>0</v>
      </c>
      <c r="E32" s="45">
        <v>10464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87">
        <v>0</v>
      </c>
      <c r="L32" s="34"/>
      <c r="M32" s="32"/>
    </row>
    <row r="33" spans="1:12" ht="24" customHeight="1">
      <c r="A33" s="18"/>
      <c r="B33" s="92" t="s">
        <v>146</v>
      </c>
      <c r="C33" s="38" t="s">
        <v>180</v>
      </c>
      <c r="D33" s="45">
        <v>0</v>
      </c>
      <c r="E33" s="45">
        <f aca="true" t="shared" si="2" ref="E33:K33">E34+E35</f>
        <v>0</v>
      </c>
      <c r="F33" s="45">
        <f>F34+F35</f>
        <v>0</v>
      </c>
      <c r="G33" s="45">
        <f>H33+I33+J33+K33</f>
        <v>0</v>
      </c>
      <c r="H33" s="45">
        <f t="shared" si="2"/>
        <v>0</v>
      </c>
      <c r="I33" s="45">
        <f t="shared" si="2"/>
        <v>0</v>
      </c>
      <c r="J33" s="45">
        <f t="shared" si="2"/>
        <v>0</v>
      </c>
      <c r="K33" s="45">
        <f t="shared" si="2"/>
        <v>0</v>
      </c>
      <c r="L33" s="34"/>
    </row>
    <row r="34" spans="1:12" ht="14.25" customHeight="1">
      <c r="A34" s="2"/>
      <c r="B34" s="97" t="s">
        <v>147</v>
      </c>
      <c r="C34" s="37" t="s">
        <v>181</v>
      </c>
      <c r="D34" s="45">
        <v>0</v>
      </c>
      <c r="E34" s="45">
        <v>0</v>
      </c>
      <c r="F34" s="45">
        <v>0</v>
      </c>
      <c r="G34" s="45">
        <f>H34+I34+J34+K34</f>
        <v>0</v>
      </c>
      <c r="H34" s="45">
        <v>0</v>
      </c>
      <c r="I34" s="45">
        <v>0</v>
      </c>
      <c r="J34" s="45">
        <v>0</v>
      </c>
      <c r="K34" s="45">
        <v>0</v>
      </c>
      <c r="L34" s="34"/>
    </row>
    <row r="35" spans="1:12" ht="21" customHeight="1">
      <c r="A35" s="18"/>
      <c r="B35" s="92" t="s">
        <v>269</v>
      </c>
      <c r="C35" s="38" t="s">
        <v>182</v>
      </c>
      <c r="D35" s="45">
        <v>0</v>
      </c>
      <c r="E35" s="45">
        <v>0</v>
      </c>
      <c r="F35" s="45">
        <v>0</v>
      </c>
      <c r="G35" s="45">
        <f>H35+I35+J35+K35</f>
        <v>0</v>
      </c>
      <c r="H35" s="45">
        <v>0</v>
      </c>
      <c r="I35" s="45">
        <v>0</v>
      </c>
      <c r="J35" s="45">
        <v>0</v>
      </c>
      <c r="K35" s="45">
        <v>0</v>
      </c>
      <c r="L35" s="34"/>
    </row>
    <row r="36" spans="1:12" ht="12" customHeight="1">
      <c r="A36" s="2"/>
      <c r="B36" s="97" t="s">
        <v>148</v>
      </c>
      <c r="C36" s="37"/>
      <c r="D36" s="45"/>
      <c r="E36" s="45"/>
      <c r="F36" s="45"/>
      <c r="G36" s="45"/>
      <c r="H36" s="45"/>
      <c r="I36" s="45"/>
      <c r="J36" s="45"/>
      <c r="K36" s="45"/>
      <c r="L36" s="34"/>
    </row>
    <row r="37" spans="1:12" ht="11.25" customHeight="1">
      <c r="A37" s="18"/>
      <c r="B37" s="94" t="s">
        <v>149</v>
      </c>
      <c r="C37" s="38" t="s">
        <v>183</v>
      </c>
      <c r="D37" s="45">
        <v>1590</v>
      </c>
      <c r="E37" s="45">
        <v>150</v>
      </c>
      <c r="F37" s="45">
        <f>D37</f>
        <v>1590</v>
      </c>
      <c r="G37" s="45">
        <f>150+(50*0.1)</f>
        <v>155</v>
      </c>
      <c r="H37" s="45">
        <v>33</v>
      </c>
      <c r="I37" s="45">
        <v>36</v>
      </c>
      <c r="J37" s="45">
        <f>41+2</f>
        <v>43</v>
      </c>
      <c r="K37" s="45">
        <f>40+3</f>
        <v>43</v>
      </c>
      <c r="L37" s="34"/>
    </row>
    <row r="38" spans="1:12" ht="11.25" customHeight="1">
      <c r="A38" s="2"/>
      <c r="B38" s="97" t="s">
        <v>150</v>
      </c>
      <c r="C38" s="37" t="s">
        <v>184</v>
      </c>
      <c r="D38" s="45">
        <v>1040</v>
      </c>
      <c r="E38" s="45">
        <v>124</v>
      </c>
      <c r="F38" s="45">
        <f>D38</f>
        <v>1040</v>
      </c>
      <c r="G38" s="45">
        <f>124+(124*0.1)</f>
        <v>136</v>
      </c>
      <c r="H38" s="45">
        <f>28+3</f>
        <v>31</v>
      </c>
      <c r="I38" s="45">
        <f>29+3</f>
        <v>32</v>
      </c>
      <c r="J38" s="45">
        <f>35+3</f>
        <v>38</v>
      </c>
      <c r="K38" s="45">
        <f>32+3</f>
        <v>35</v>
      </c>
      <c r="L38" s="34"/>
    </row>
    <row r="39" spans="1:12" ht="11.25" customHeight="1">
      <c r="A39" s="18"/>
      <c r="B39" s="94" t="s">
        <v>151</v>
      </c>
      <c r="C39" s="38" t="s">
        <v>185</v>
      </c>
      <c r="D39" s="45">
        <v>956</v>
      </c>
      <c r="E39" s="45">
        <v>26</v>
      </c>
      <c r="F39" s="45">
        <f>D39</f>
        <v>956</v>
      </c>
      <c r="G39" s="45">
        <v>1010</v>
      </c>
      <c r="H39" s="45">
        <f>252-53</f>
        <v>199</v>
      </c>
      <c r="I39" s="45">
        <f>252+20</f>
        <v>272</v>
      </c>
      <c r="J39" s="45">
        <f>253+20</f>
        <v>273</v>
      </c>
      <c r="K39" s="45">
        <f>253+13</f>
        <v>266</v>
      </c>
      <c r="L39" s="34"/>
    </row>
    <row r="40" spans="2:11" ht="12.75">
      <c r="B40" s="97"/>
      <c r="C40" s="33"/>
      <c r="D40" s="34"/>
      <c r="E40" s="34"/>
      <c r="F40" s="34"/>
      <c r="G40" s="34"/>
      <c r="H40" s="34"/>
      <c r="I40" s="34"/>
      <c r="J40" s="34"/>
      <c r="K40" s="34"/>
    </row>
    <row r="41" spans="2:9" ht="14.25" customHeight="1">
      <c r="B41" s="30" t="s">
        <v>328</v>
      </c>
      <c r="C41"/>
      <c r="G41" s="30"/>
      <c r="I41" t="s">
        <v>313</v>
      </c>
    </row>
    <row r="42" spans="2:3" ht="14.25" customHeight="1">
      <c r="B42" s="91" t="s">
        <v>303</v>
      </c>
      <c r="C42"/>
    </row>
    <row r="43" spans="2:3" ht="12.75">
      <c r="B43" s="13"/>
      <c r="C43"/>
    </row>
    <row r="44" spans="2:3" ht="12.75">
      <c r="B44" s="13"/>
      <c r="C44"/>
    </row>
    <row r="45" ht="12.75">
      <c r="C45"/>
    </row>
  </sheetData>
  <sheetProtection/>
  <mergeCells count="5">
    <mergeCell ref="G4:G5"/>
    <mergeCell ref="E4:E5"/>
    <mergeCell ref="D4:D5"/>
    <mergeCell ref="C4:C5"/>
    <mergeCell ref="F4:F5"/>
  </mergeCells>
  <printOptions/>
  <pageMargins left="0.24" right="0.25" top="0.24" bottom="0.26" header="0.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C40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2.28125" style="0" customWidth="1"/>
    <col min="2" max="2" width="27.8515625" style="0" customWidth="1"/>
    <col min="3" max="3" width="6.00390625" style="0" customWidth="1"/>
    <col min="4" max="4" width="10.00390625" style="0" customWidth="1"/>
    <col min="5" max="5" width="12.7109375" style="0" customWidth="1"/>
    <col min="6" max="6" width="10.7109375" style="0" customWidth="1"/>
    <col min="7" max="7" width="7.7109375" style="0" customWidth="1"/>
    <col min="8" max="8" width="8.00390625" style="0" customWidth="1"/>
    <col min="9" max="9" width="7.57421875" style="0" customWidth="1"/>
    <col min="10" max="10" width="8.00390625" style="0" customWidth="1"/>
    <col min="11" max="11" width="7.8515625" style="0" customWidth="1"/>
    <col min="12" max="12" width="13.28125" style="0" customWidth="1"/>
  </cols>
  <sheetData>
    <row r="2" ht="12.75">
      <c r="B2" s="90" t="s">
        <v>93</v>
      </c>
    </row>
    <row r="3" spans="3:6" ht="15">
      <c r="C3" s="101" t="s">
        <v>186</v>
      </c>
      <c r="D3" s="110"/>
      <c r="E3" s="110"/>
      <c r="F3" s="110"/>
    </row>
    <row r="4" spans="3:6" ht="19.5" customHeight="1">
      <c r="C4" s="110"/>
      <c r="D4" s="101" t="s">
        <v>314</v>
      </c>
      <c r="E4" s="110"/>
      <c r="F4" s="110"/>
    </row>
    <row r="5" spans="1:10" ht="14.25">
      <c r="A5" s="30"/>
      <c r="B5" s="30"/>
      <c r="C5" s="30"/>
      <c r="D5" s="30"/>
      <c r="E5" s="30"/>
      <c r="F5" s="30"/>
      <c r="G5" s="30"/>
      <c r="H5" s="30"/>
      <c r="I5" s="30" t="s">
        <v>15</v>
      </c>
      <c r="J5" s="30"/>
    </row>
    <row r="6" spans="1:10" ht="16.5" customHeight="1">
      <c r="A6" s="81"/>
      <c r="B6" s="153"/>
      <c r="C6" s="151" t="s">
        <v>94</v>
      </c>
      <c r="D6" s="151" t="s">
        <v>95</v>
      </c>
      <c r="E6" s="151" t="s">
        <v>96</v>
      </c>
      <c r="F6" s="151" t="s">
        <v>97</v>
      </c>
      <c r="G6" s="53" t="s">
        <v>121</v>
      </c>
      <c r="H6" s="54"/>
      <c r="I6" s="55"/>
      <c r="J6" s="56"/>
    </row>
    <row r="7" spans="1:81" ht="52.5" customHeight="1">
      <c r="A7" s="81"/>
      <c r="B7" s="154"/>
      <c r="C7" s="152"/>
      <c r="D7" s="152"/>
      <c r="E7" s="152"/>
      <c r="F7" s="152"/>
      <c r="G7" s="62" t="s">
        <v>98</v>
      </c>
      <c r="H7" s="63" t="s">
        <v>99</v>
      </c>
      <c r="I7" s="64" t="s">
        <v>100</v>
      </c>
      <c r="J7" s="63" t="s">
        <v>101</v>
      </c>
      <c r="K7" s="29"/>
      <c r="L7" s="29"/>
      <c r="M7" s="29"/>
      <c r="N7" s="121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</row>
    <row r="8" spans="1:81" ht="12" customHeight="1">
      <c r="A8" s="81"/>
      <c r="B8" s="63">
        <v>1</v>
      </c>
      <c r="C8" s="63">
        <v>2</v>
      </c>
      <c r="D8" s="64">
        <v>3</v>
      </c>
      <c r="E8" s="63">
        <v>4</v>
      </c>
      <c r="F8" s="64">
        <v>5</v>
      </c>
      <c r="G8" s="63">
        <v>6</v>
      </c>
      <c r="H8" s="64">
        <v>7</v>
      </c>
      <c r="I8" s="63">
        <v>8</v>
      </c>
      <c r="J8" s="63">
        <v>9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</row>
    <row r="9" spans="1:81" ht="26.25" customHeight="1">
      <c r="A9" s="81"/>
      <c r="B9" s="116" t="s">
        <v>102</v>
      </c>
      <c r="C9" s="65">
        <v>1</v>
      </c>
      <c r="D9" s="66">
        <f aca="true" t="shared" si="0" ref="D9:J9">D10+D11</f>
        <v>8551</v>
      </c>
      <c r="E9" s="66">
        <f t="shared" si="0"/>
        <v>8396</v>
      </c>
      <c r="F9" s="70">
        <f>F10+F11</f>
        <v>11447</v>
      </c>
      <c r="G9" s="68">
        <f t="shared" si="0"/>
        <v>2742</v>
      </c>
      <c r="H9" s="68">
        <f t="shared" si="0"/>
        <v>2917</v>
      </c>
      <c r="I9" s="68">
        <f t="shared" si="0"/>
        <v>2776</v>
      </c>
      <c r="J9" s="68">
        <f t="shared" si="0"/>
        <v>3012</v>
      </c>
      <c r="K9" s="49"/>
      <c r="L9" s="49"/>
      <c r="M9" s="29"/>
      <c r="N9" s="29"/>
      <c r="O9" s="29"/>
      <c r="P9" s="4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</row>
    <row r="10" spans="1:81" s="14" customFormat="1" ht="28.5" customHeight="1">
      <c r="A10" s="81"/>
      <c r="B10" s="117" t="s">
        <v>120</v>
      </c>
      <c r="C10" s="63" t="s">
        <v>103</v>
      </c>
      <c r="D10" s="70">
        <v>1654</v>
      </c>
      <c r="E10" s="66">
        <v>2944</v>
      </c>
      <c r="F10" s="70">
        <f>(1654*0.5)+1654</f>
        <v>2481</v>
      </c>
      <c r="G10" s="66">
        <v>500</v>
      </c>
      <c r="H10" s="70">
        <v>861</v>
      </c>
      <c r="I10" s="66">
        <v>620</v>
      </c>
      <c r="J10" s="66">
        <v>500</v>
      </c>
      <c r="K10" s="49"/>
      <c r="L10" s="49"/>
      <c r="M10" s="4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</row>
    <row r="11" spans="1:81" ht="18" customHeight="1">
      <c r="A11" s="81"/>
      <c r="B11" s="118" t="s">
        <v>104</v>
      </c>
      <c r="C11" s="65" t="s">
        <v>105</v>
      </c>
      <c r="D11" s="67">
        <v>6897</v>
      </c>
      <c r="E11" s="68">
        <v>5452</v>
      </c>
      <c r="F11" s="70">
        <f>(D11*0.3)+6897</f>
        <v>8966</v>
      </c>
      <c r="G11" s="68">
        <v>2242</v>
      </c>
      <c r="H11" s="72">
        <f>1756+300</f>
        <v>2056</v>
      </c>
      <c r="I11" s="68">
        <f>1756+400</f>
        <v>2156</v>
      </c>
      <c r="J11" s="68">
        <f>2242+270</f>
        <v>2512</v>
      </c>
      <c r="K11" s="49"/>
      <c r="L11" s="49"/>
      <c r="M11" s="4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</row>
    <row r="12" spans="1:81" s="14" customFormat="1" ht="18" customHeight="1">
      <c r="A12" s="81"/>
      <c r="B12" s="119" t="s">
        <v>106</v>
      </c>
      <c r="C12" s="63">
        <v>2</v>
      </c>
      <c r="D12" s="70">
        <v>26599</v>
      </c>
      <c r="E12" s="66">
        <v>25238</v>
      </c>
      <c r="F12" s="70">
        <f>(D12*0.2)+26599</f>
        <v>31919</v>
      </c>
      <c r="G12" s="66">
        <v>6979</v>
      </c>
      <c r="H12" s="66">
        <f>G12+500</f>
        <v>7479</v>
      </c>
      <c r="I12" s="66">
        <v>8479</v>
      </c>
      <c r="J12" s="66">
        <f>8979+3</f>
        <v>8982</v>
      </c>
      <c r="K12" s="49"/>
      <c r="L12" s="49"/>
      <c r="M12" s="4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</row>
    <row r="13" spans="1:81" ht="19.5" customHeight="1">
      <c r="A13" s="81"/>
      <c r="B13" s="118" t="s">
        <v>189</v>
      </c>
      <c r="C13" s="65">
        <v>3</v>
      </c>
      <c r="D13" s="66">
        <v>6243</v>
      </c>
      <c r="E13" s="66">
        <v>5552</v>
      </c>
      <c r="F13" s="66">
        <f>F12*0.22</f>
        <v>7022</v>
      </c>
      <c r="G13" s="66">
        <f>G12*0.22</f>
        <v>1535</v>
      </c>
      <c r="H13" s="66">
        <f>H12*0.22</f>
        <v>1645</v>
      </c>
      <c r="I13" s="66">
        <f>I12*0.22</f>
        <v>1865</v>
      </c>
      <c r="J13" s="66">
        <v>1977</v>
      </c>
      <c r="K13" s="49"/>
      <c r="L13" s="4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</row>
    <row r="14" spans="1:81" s="14" customFormat="1" ht="20.25" customHeight="1">
      <c r="A14" s="81"/>
      <c r="B14" s="119" t="s">
        <v>107</v>
      </c>
      <c r="C14" s="63">
        <v>4</v>
      </c>
      <c r="D14" s="70">
        <v>2011</v>
      </c>
      <c r="E14" s="66">
        <v>2000</v>
      </c>
      <c r="F14" s="70">
        <f>2011</f>
        <v>2011</v>
      </c>
      <c r="G14" s="66">
        <v>500</v>
      </c>
      <c r="H14" s="70">
        <v>500</v>
      </c>
      <c r="I14" s="66">
        <v>501</v>
      </c>
      <c r="J14" s="66">
        <v>510</v>
      </c>
      <c r="K14" s="49"/>
      <c r="L14" s="49"/>
      <c r="M14" s="4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</row>
    <row r="15" spans="1:81" ht="17.25" customHeight="1">
      <c r="A15" s="81"/>
      <c r="B15" s="118" t="s">
        <v>108</v>
      </c>
      <c r="C15" s="65">
        <v>5</v>
      </c>
      <c r="D15" s="67">
        <v>11852</v>
      </c>
      <c r="E15" s="68">
        <v>10464</v>
      </c>
      <c r="F15" s="70">
        <f>((1977*0.5)+1977)*4</f>
        <v>11862</v>
      </c>
      <c r="G15" s="68">
        <f>3141-1600+388+252</f>
        <v>2181</v>
      </c>
      <c r="H15" s="67">
        <f>3141-1000+252+500</f>
        <v>2893</v>
      </c>
      <c r="I15" s="68">
        <f>3141+500+252-500</f>
        <v>3393</v>
      </c>
      <c r="J15" s="68">
        <f>3141+252+2</f>
        <v>3395</v>
      </c>
      <c r="K15" s="49"/>
      <c r="L15" s="49"/>
      <c r="M15" s="4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</row>
    <row r="16" spans="1:81" s="14" customFormat="1" ht="21.75" customHeight="1">
      <c r="A16" s="81"/>
      <c r="B16" s="119" t="s">
        <v>109</v>
      </c>
      <c r="C16" s="63">
        <v>6</v>
      </c>
      <c r="D16" s="70">
        <f aca="true" t="shared" si="1" ref="D16:J16">D9+D12+D13+D14+D15</f>
        <v>55256</v>
      </c>
      <c r="E16" s="66">
        <f>E9+E12+E13+E14+E15</f>
        <v>51650</v>
      </c>
      <c r="F16" s="70">
        <f t="shared" si="1"/>
        <v>64261</v>
      </c>
      <c r="G16" s="66">
        <f t="shared" si="1"/>
        <v>13937</v>
      </c>
      <c r="H16" s="66">
        <f t="shared" si="1"/>
        <v>15434</v>
      </c>
      <c r="I16" s="66">
        <f t="shared" si="1"/>
        <v>17014</v>
      </c>
      <c r="J16" s="66">
        <f t="shared" si="1"/>
        <v>17876</v>
      </c>
      <c r="K16" s="49"/>
      <c r="L16" s="4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</row>
    <row r="17" spans="1:81" ht="14.25">
      <c r="A17" s="81"/>
      <c r="B17" s="58"/>
      <c r="C17" s="57"/>
      <c r="D17" s="74"/>
      <c r="E17" s="75"/>
      <c r="F17" s="74"/>
      <c r="G17" s="75"/>
      <c r="H17" s="74"/>
      <c r="I17" s="75"/>
      <c r="J17" s="75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</row>
    <row r="18" spans="1:81" ht="14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</row>
    <row r="19" spans="1:81" ht="14.25">
      <c r="A19" s="30"/>
      <c r="B19" s="30" t="s">
        <v>315</v>
      </c>
      <c r="C19" s="30"/>
      <c r="D19" s="30"/>
      <c r="E19" s="30"/>
      <c r="F19" s="30"/>
      <c r="G19" s="30" t="s">
        <v>313</v>
      </c>
      <c r="H19" s="30"/>
      <c r="I19" s="30"/>
      <c r="J19" s="30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</row>
    <row r="20" spans="2:81" ht="14.25">
      <c r="B20" s="13" t="s">
        <v>316</v>
      </c>
      <c r="C20" s="13"/>
      <c r="D20" s="30"/>
      <c r="E20" s="30"/>
      <c r="F20" s="30"/>
      <c r="G20" s="30"/>
      <c r="H20" s="3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</row>
    <row r="21" ht="12.75">
      <c r="B21" s="13"/>
    </row>
    <row r="22" ht="12.75">
      <c r="B22" s="90" t="s">
        <v>110</v>
      </c>
    </row>
    <row r="23" spans="4:6" ht="15">
      <c r="D23" s="101" t="s">
        <v>187</v>
      </c>
      <c r="E23" s="111"/>
      <c r="F23" s="90"/>
    </row>
    <row r="24" spans="4:6" ht="15">
      <c r="D24" s="101"/>
      <c r="E24" s="112">
        <v>2019</v>
      </c>
      <c r="F24" s="90"/>
    </row>
    <row r="25" spans="1:10" ht="14.25">
      <c r="A25" s="30"/>
      <c r="B25" s="30"/>
      <c r="C25" s="30"/>
      <c r="D25" s="30"/>
      <c r="E25" s="30"/>
      <c r="F25" s="30"/>
      <c r="G25" s="30"/>
      <c r="H25" s="30"/>
      <c r="I25" s="30" t="s">
        <v>190</v>
      </c>
      <c r="J25" s="30"/>
    </row>
    <row r="26" spans="1:10" ht="14.25">
      <c r="A26" s="51"/>
      <c r="B26" s="52"/>
      <c r="C26" s="51"/>
      <c r="D26" s="76"/>
      <c r="E26" s="155" t="s">
        <v>96</v>
      </c>
      <c r="F26" s="155" t="s">
        <v>97</v>
      </c>
      <c r="G26" s="63" t="s">
        <v>122</v>
      </c>
      <c r="H26" s="63"/>
      <c r="I26" s="63"/>
      <c r="J26" s="63"/>
    </row>
    <row r="27" spans="1:10" ht="67.5" customHeight="1">
      <c r="A27" s="57"/>
      <c r="B27" s="58"/>
      <c r="C27" s="77" t="s">
        <v>94</v>
      </c>
      <c r="D27" s="78" t="s">
        <v>95</v>
      </c>
      <c r="E27" s="156"/>
      <c r="F27" s="156"/>
      <c r="G27" s="63" t="s">
        <v>98</v>
      </c>
      <c r="H27" s="61" t="s">
        <v>99</v>
      </c>
      <c r="I27" s="63" t="s">
        <v>100</v>
      </c>
      <c r="J27" s="63" t="s">
        <v>101</v>
      </c>
    </row>
    <row r="28" spans="1:58" ht="14.25">
      <c r="A28" s="73"/>
      <c r="B28" s="59">
        <v>1</v>
      </c>
      <c r="C28" s="77">
        <v>2</v>
      </c>
      <c r="D28" s="79">
        <v>3</v>
      </c>
      <c r="E28" s="61">
        <v>4</v>
      </c>
      <c r="F28" s="60">
        <v>5</v>
      </c>
      <c r="G28" s="61">
        <v>6</v>
      </c>
      <c r="H28" s="60">
        <v>7</v>
      </c>
      <c r="I28" s="61">
        <v>8</v>
      </c>
      <c r="J28" s="63">
        <v>9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</row>
    <row r="29" spans="1:58" ht="36" customHeight="1">
      <c r="A29" s="71"/>
      <c r="B29" s="80" t="s">
        <v>111</v>
      </c>
      <c r="C29" s="81">
        <v>1</v>
      </c>
      <c r="D29" s="68">
        <f aca="true" t="shared" si="2" ref="D29:J29">D30+D31+D32+D33+D34+D35</f>
        <v>1242</v>
      </c>
      <c r="E29" s="68">
        <f t="shared" si="2"/>
        <v>5934</v>
      </c>
      <c r="F29" s="68">
        <f t="shared" si="2"/>
        <v>1562</v>
      </c>
      <c r="G29" s="68">
        <f t="shared" si="2"/>
        <v>280</v>
      </c>
      <c r="H29" s="68">
        <f t="shared" si="2"/>
        <v>440</v>
      </c>
      <c r="I29" s="68">
        <f t="shared" si="2"/>
        <v>440</v>
      </c>
      <c r="J29" s="68">
        <f t="shared" si="2"/>
        <v>402</v>
      </c>
      <c r="K29" s="49"/>
      <c r="L29" s="4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</row>
    <row r="30" spans="1:58" s="14" customFormat="1" ht="29.25" customHeight="1">
      <c r="A30" s="69"/>
      <c r="B30" s="84" t="s">
        <v>289</v>
      </c>
      <c r="C30" s="82" t="s">
        <v>103</v>
      </c>
      <c r="D30" s="66">
        <v>1242</v>
      </c>
      <c r="E30" s="70">
        <v>5614</v>
      </c>
      <c r="F30" s="66">
        <v>1242</v>
      </c>
      <c r="G30" s="70">
        <v>200</v>
      </c>
      <c r="H30" s="66">
        <f>310+50</f>
        <v>360</v>
      </c>
      <c r="I30" s="70">
        <f>310+50</f>
        <v>360</v>
      </c>
      <c r="J30" s="70">
        <v>322</v>
      </c>
      <c r="K30" s="49"/>
      <c r="L30" s="4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</row>
    <row r="31" spans="1:58" ht="29.25" customHeight="1">
      <c r="A31" s="71"/>
      <c r="B31" s="123" t="s">
        <v>290</v>
      </c>
      <c r="C31" s="81" t="s">
        <v>105</v>
      </c>
      <c r="D31" s="68">
        <v>0</v>
      </c>
      <c r="E31" s="67">
        <v>120</v>
      </c>
      <c r="F31" s="66">
        <v>120</v>
      </c>
      <c r="G31" s="67">
        <v>30</v>
      </c>
      <c r="H31" s="68">
        <v>30</v>
      </c>
      <c r="I31" s="83">
        <v>30</v>
      </c>
      <c r="J31" s="66">
        <v>30</v>
      </c>
      <c r="K31" s="49"/>
      <c r="L31" s="4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</row>
    <row r="32" spans="1:58" s="14" customFormat="1" ht="42" customHeight="1">
      <c r="A32" s="69"/>
      <c r="B32" s="84" t="s">
        <v>112</v>
      </c>
      <c r="C32" s="82" t="s">
        <v>113</v>
      </c>
      <c r="D32" s="66">
        <v>0</v>
      </c>
      <c r="E32" s="70">
        <v>0</v>
      </c>
      <c r="F32" s="66">
        <f>G32+H32+I32+J32</f>
        <v>0</v>
      </c>
      <c r="G32" s="70">
        <v>0</v>
      </c>
      <c r="H32" s="66">
        <v>0</v>
      </c>
      <c r="I32" s="70">
        <v>0</v>
      </c>
      <c r="J32" s="66"/>
      <c r="K32" s="4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</row>
    <row r="33" spans="1:58" ht="28.5" customHeight="1">
      <c r="A33" s="71"/>
      <c r="B33" s="80" t="s">
        <v>114</v>
      </c>
      <c r="C33" s="81" t="s">
        <v>115</v>
      </c>
      <c r="D33" s="68">
        <v>0</v>
      </c>
      <c r="E33" s="72">
        <v>0</v>
      </c>
      <c r="F33" s="66">
        <f>G33+H33+I33+J33</f>
        <v>0</v>
      </c>
      <c r="G33" s="72">
        <v>0</v>
      </c>
      <c r="H33" s="68">
        <v>0</v>
      </c>
      <c r="I33" s="83">
        <v>0</v>
      </c>
      <c r="J33" s="66">
        <v>0</v>
      </c>
      <c r="K33" s="4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</row>
    <row r="34" spans="1:58" s="14" customFormat="1" ht="56.25" customHeight="1">
      <c r="A34" s="69"/>
      <c r="B34" s="84" t="s">
        <v>116</v>
      </c>
      <c r="C34" s="82" t="s">
        <v>117</v>
      </c>
      <c r="D34" s="66">
        <v>0</v>
      </c>
      <c r="E34" s="70">
        <v>200</v>
      </c>
      <c r="F34" s="66">
        <v>200</v>
      </c>
      <c r="G34" s="70">
        <v>50</v>
      </c>
      <c r="H34" s="66">
        <v>50</v>
      </c>
      <c r="I34" s="70">
        <v>50</v>
      </c>
      <c r="J34" s="66">
        <v>50</v>
      </c>
      <c r="K34" s="49"/>
      <c r="L34" s="4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</row>
    <row r="35" spans="1:58" ht="21.75" customHeight="1">
      <c r="A35" s="69"/>
      <c r="B35" s="54" t="s">
        <v>118</v>
      </c>
      <c r="C35" s="82" t="s">
        <v>119</v>
      </c>
      <c r="D35" s="66">
        <v>0</v>
      </c>
      <c r="E35" s="85">
        <v>0</v>
      </c>
      <c r="F35" s="66">
        <f>G35+H35+I35+J35</f>
        <v>0</v>
      </c>
      <c r="G35" s="70">
        <v>0</v>
      </c>
      <c r="H35" s="66">
        <v>0</v>
      </c>
      <c r="I35" s="70">
        <v>0</v>
      </c>
      <c r="J35" s="66">
        <v>0</v>
      </c>
      <c r="K35" s="4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</row>
    <row r="36" spans="1:58" ht="14.25">
      <c r="A36" s="30"/>
      <c r="B36" s="30"/>
      <c r="C36" s="30"/>
      <c r="D36" s="86"/>
      <c r="E36" s="86"/>
      <c r="F36" s="86"/>
      <c r="G36" s="86"/>
      <c r="H36" s="86"/>
      <c r="I36" s="86"/>
      <c r="J36" s="86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</row>
    <row r="37" spans="1:58" ht="14.25">
      <c r="A37" s="30"/>
      <c r="B37" s="30" t="s">
        <v>315</v>
      </c>
      <c r="C37" s="30"/>
      <c r="D37" s="30"/>
      <c r="E37" s="30"/>
      <c r="F37" s="30"/>
      <c r="G37" s="30" t="s">
        <v>313</v>
      </c>
      <c r="H37" s="30"/>
      <c r="I37" s="30"/>
      <c r="J37" s="30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</row>
    <row r="38" spans="2:58" ht="12.75">
      <c r="B38" s="13" t="s">
        <v>316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</row>
    <row r="39" ht="12.75">
      <c r="B39" s="13"/>
    </row>
    <row r="40" ht="12.75">
      <c r="B40" s="13"/>
    </row>
  </sheetData>
  <sheetProtection/>
  <mergeCells count="7">
    <mergeCell ref="C6:C7"/>
    <mergeCell ref="B6:B7"/>
    <mergeCell ref="E26:E27"/>
    <mergeCell ref="F26:F27"/>
    <mergeCell ref="F6:F7"/>
    <mergeCell ref="E6:E7"/>
    <mergeCell ref="D6:D7"/>
  </mergeCells>
  <printOptions/>
  <pageMargins left="0.25" right="0.25" top="0.24" bottom="0.17" header="0.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43"/>
  <sheetViews>
    <sheetView zoomScale="120" zoomScaleNormal="120" zoomScalePageLayoutView="0" workbookViewId="0" topLeftCell="A11">
      <selection activeCell="O19" sqref="O19"/>
    </sheetView>
  </sheetViews>
  <sheetFormatPr defaultColWidth="9.140625" defaultRowHeight="12.75"/>
  <sheetData>
    <row r="6" spans="1:10" ht="1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ht="15">
      <c r="A7" s="101" t="s">
        <v>261</v>
      </c>
      <c r="B7" s="101"/>
      <c r="C7" s="101"/>
      <c r="D7" s="101"/>
      <c r="E7" s="101"/>
      <c r="F7" s="101"/>
      <c r="G7" s="101"/>
      <c r="H7" s="101"/>
      <c r="I7" s="39"/>
      <c r="J7" s="39"/>
    </row>
    <row r="8" spans="1:10" ht="15">
      <c r="A8" s="101" t="s">
        <v>188</v>
      </c>
      <c r="B8" s="101"/>
      <c r="C8" s="101"/>
      <c r="D8" s="101"/>
      <c r="E8" s="101"/>
      <c r="F8" s="101"/>
      <c r="G8" s="101"/>
      <c r="H8" s="101"/>
      <c r="I8" s="39"/>
      <c r="J8" s="39"/>
    </row>
    <row r="9" spans="1:10" ht="15">
      <c r="A9" s="101"/>
      <c r="B9" s="101"/>
      <c r="C9" s="101" t="s">
        <v>336</v>
      </c>
      <c r="D9" s="101"/>
      <c r="E9" s="101"/>
      <c r="F9" s="101"/>
      <c r="G9" s="101"/>
      <c r="H9" s="101"/>
      <c r="I9" s="39"/>
      <c r="J9" s="39"/>
    </row>
    <row r="10" spans="1:10" ht="15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5">
      <c r="A11" s="120" t="s">
        <v>338</v>
      </c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0" ht="15">
      <c r="A12" s="120" t="s">
        <v>340</v>
      </c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0" ht="15">
      <c r="A13" s="120" t="s">
        <v>339</v>
      </c>
      <c r="B13" s="120"/>
      <c r="C13" s="120"/>
      <c r="D13" s="120"/>
      <c r="E13" s="120"/>
      <c r="F13" s="120"/>
      <c r="G13" s="120"/>
      <c r="H13" s="120"/>
      <c r="I13" s="120"/>
      <c r="J13" s="120"/>
    </row>
    <row r="14" spans="1:10" ht="15">
      <c r="A14" s="36" t="s">
        <v>337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5">
      <c r="A15" s="36" t="s">
        <v>299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5">
      <c r="A16" s="36" t="s">
        <v>300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5">
      <c r="A17" s="36" t="s">
        <v>341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5">
      <c r="A18" s="36" t="s">
        <v>342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">
      <c r="A19" s="36" t="s">
        <v>357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5">
      <c r="A20" s="36" t="s">
        <v>343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5">
      <c r="A21" s="36" t="s">
        <v>344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5">
      <c r="A22" s="120" t="s">
        <v>345</v>
      </c>
      <c r="B22" s="120"/>
      <c r="C22" s="120"/>
      <c r="D22" s="120"/>
      <c r="E22" s="120"/>
      <c r="F22" s="120"/>
      <c r="G22" s="120"/>
      <c r="H22" s="120"/>
      <c r="I22" s="120"/>
      <c r="J22" s="120"/>
    </row>
    <row r="23" spans="1:10" ht="15">
      <c r="A23" s="120" t="s">
        <v>302</v>
      </c>
      <c r="B23" s="120"/>
      <c r="C23" s="120"/>
      <c r="D23" s="120"/>
      <c r="E23" s="120"/>
      <c r="F23" s="120"/>
      <c r="G23" s="120"/>
      <c r="H23" s="120"/>
      <c r="I23" s="120"/>
      <c r="J23" s="120"/>
    </row>
    <row r="24" spans="1:10" ht="15">
      <c r="A24" s="120" t="s">
        <v>358</v>
      </c>
      <c r="B24" s="120"/>
      <c r="C24" s="120"/>
      <c r="D24" s="120"/>
      <c r="E24" s="120"/>
      <c r="F24" s="120"/>
      <c r="G24" s="120"/>
      <c r="H24" s="120"/>
      <c r="I24" s="120"/>
      <c r="J24" s="120"/>
    </row>
    <row r="25" spans="1:10" ht="15">
      <c r="A25" s="120" t="s">
        <v>346</v>
      </c>
      <c r="B25" s="120"/>
      <c r="C25" s="120"/>
      <c r="D25" s="120"/>
      <c r="E25" s="120"/>
      <c r="F25" s="120"/>
      <c r="G25" s="120"/>
      <c r="H25" s="120"/>
      <c r="I25" s="120"/>
      <c r="J25" s="120"/>
    </row>
    <row r="26" spans="1:10" ht="15">
      <c r="A26" s="120" t="s">
        <v>301</v>
      </c>
      <c r="B26" s="120"/>
      <c r="C26" s="120"/>
      <c r="D26" s="120"/>
      <c r="E26" s="120"/>
      <c r="F26" s="120"/>
      <c r="G26" s="120"/>
      <c r="H26" s="120"/>
      <c r="I26" s="120"/>
      <c r="J26" s="120"/>
    </row>
    <row r="27" spans="1:10" ht="15">
      <c r="A27" s="120" t="s">
        <v>355</v>
      </c>
      <c r="B27" s="120"/>
      <c r="C27" s="120"/>
      <c r="D27" s="120"/>
      <c r="E27" s="120"/>
      <c r="F27" s="120"/>
      <c r="G27" s="120"/>
      <c r="H27" s="120"/>
      <c r="I27" s="120"/>
      <c r="J27" s="120"/>
    </row>
    <row r="28" spans="1:10" ht="15">
      <c r="A28" s="120" t="s">
        <v>347</v>
      </c>
      <c r="B28" s="120"/>
      <c r="C28" s="120"/>
      <c r="D28" s="120"/>
      <c r="E28" s="120"/>
      <c r="F28" s="120"/>
      <c r="G28" s="120"/>
      <c r="H28" s="120"/>
      <c r="I28" s="120"/>
      <c r="J28" s="120"/>
    </row>
    <row r="29" spans="1:10" ht="15">
      <c r="A29" s="39" t="s">
        <v>356</v>
      </c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5">
      <c r="A30" s="120" t="s">
        <v>348</v>
      </c>
      <c r="B30" s="120"/>
      <c r="C30" s="120"/>
      <c r="D30" s="120"/>
      <c r="E30" s="120"/>
      <c r="F30" s="120"/>
      <c r="G30" s="120"/>
      <c r="H30" s="120"/>
      <c r="I30" s="120"/>
      <c r="J30" s="120"/>
    </row>
    <row r="31" spans="1:10" ht="15">
      <c r="A31" s="39" t="s">
        <v>349</v>
      </c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5">
      <c r="A32" s="39"/>
      <c r="B32" s="39"/>
      <c r="C32" s="39"/>
      <c r="D32" s="39"/>
      <c r="E32" s="39"/>
      <c r="F32" s="39"/>
      <c r="G32" s="39"/>
      <c r="H32" s="39"/>
      <c r="I32" s="39"/>
      <c r="J32" s="39"/>
    </row>
    <row r="33" spans="1:10" ht="15">
      <c r="A33" s="39"/>
      <c r="B33" s="39"/>
      <c r="C33" s="39" t="s">
        <v>262</v>
      </c>
      <c r="D33" s="39"/>
      <c r="E33" s="39" t="s">
        <v>350</v>
      </c>
      <c r="F33" s="39"/>
      <c r="G33" s="39"/>
      <c r="H33" s="39"/>
      <c r="I33" s="39"/>
      <c r="J33" s="39"/>
    </row>
    <row r="34" spans="1:10" ht="15">
      <c r="A34" s="39"/>
      <c r="B34" s="39"/>
      <c r="C34" s="39" t="s">
        <v>263</v>
      </c>
      <c r="D34" s="39"/>
      <c r="E34" s="39" t="s">
        <v>351</v>
      </c>
      <c r="F34" s="39"/>
      <c r="G34" s="39"/>
      <c r="H34" s="39"/>
      <c r="I34" s="39"/>
      <c r="J34" s="39"/>
    </row>
    <row r="35" spans="1:10" ht="15">
      <c r="A35" s="39"/>
      <c r="B35" s="39"/>
      <c r="C35" s="39" t="s">
        <v>264</v>
      </c>
      <c r="D35" s="39"/>
      <c r="E35" s="39" t="s">
        <v>352</v>
      </c>
      <c r="F35" s="39"/>
      <c r="G35" s="39"/>
      <c r="H35" s="39"/>
      <c r="I35" s="39"/>
      <c r="J35" s="39"/>
    </row>
    <row r="36" spans="1:10" ht="15">
      <c r="A36" s="39"/>
      <c r="B36" s="39"/>
      <c r="C36" s="39" t="s">
        <v>265</v>
      </c>
      <c r="D36" s="39"/>
      <c r="E36" s="39" t="s">
        <v>353</v>
      </c>
      <c r="F36" s="39"/>
      <c r="G36" s="39"/>
      <c r="H36" s="39"/>
      <c r="I36" s="39"/>
      <c r="J36" s="39"/>
    </row>
    <row r="37" spans="1:10" ht="15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0" ht="15">
      <c r="A38" s="39"/>
      <c r="B38" s="39"/>
      <c r="C38" s="39"/>
      <c r="D38" s="39"/>
      <c r="E38" s="39"/>
      <c r="F38" s="39"/>
      <c r="G38" s="39"/>
      <c r="H38" s="39"/>
      <c r="I38" s="39"/>
      <c r="J38" s="39"/>
    </row>
    <row r="39" spans="1:10" ht="15">
      <c r="A39" s="39" t="s">
        <v>354</v>
      </c>
      <c r="B39" s="39"/>
      <c r="C39" s="39"/>
      <c r="D39" s="39"/>
      <c r="E39" s="39"/>
      <c r="F39" s="39"/>
      <c r="G39" s="39" t="s">
        <v>332</v>
      </c>
      <c r="H39" s="39"/>
      <c r="I39" s="39"/>
      <c r="J39" s="39"/>
    </row>
    <row r="40" spans="1:10" ht="15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0" ht="15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15">
      <c r="A42" s="13" t="s">
        <v>316</v>
      </c>
      <c r="B42" s="39"/>
      <c r="C42" s="39"/>
      <c r="D42" s="39"/>
      <c r="E42" s="39"/>
      <c r="F42" s="39"/>
      <c r="G42" s="39"/>
      <c r="H42" s="39"/>
      <c r="I42" s="39"/>
      <c r="J42" s="39"/>
    </row>
    <row r="43" spans="1:10" ht="15">
      <c r="A43" s="39"/>
      <c r="B43" s="39"/>
      <c r="C43" s="39"/>
      <c r="D43" s="39"/>
      <c r="E43" s="39"/>
      <c r="F43" s="39"/>
      <c r="G43" s="39"/>
      <c r="H43" s="39"/>
      <c r="I43" s="39"/>
      <c r="J43" s="39"/>
    </row>
  </sheetData>
  <sheetProtection/>
  <printOptions/>
  <pageMargins left="0.17" right="0.17" top="0.38" bottom="0.27" header="0.2" footer="0.2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87"/>
  <sheetViews>
    <sheetView zoomScale="150" zoomScaleNormal="150" zoomScalePageLayoutView="0" workbookViewId="0" topLeftCell="A67">
      <selection activeCell="F16" sqref="F16"/>
    </sheetView>
  </sheetViews>
  <sheetFormatPr defaultColWidth="9.140625" defaultRowHeight="12.75"/>
  <cols>
    <col min="1" max="1" width="3.28125" style="0" customWidth="1"/>
    <col min="2" max="2" width="55.00390625" style="0" customWidth="1"/>
    <col min="3" max="3" width="17.7109375" style="0" customWidth="1"/>
    <col min="6" max="6" width="9.28125" style="0" bestFit="1" customWidth="1"/>
    <col min="8" max="8" width="9.28125" style="0" bestFit="1" customWidth="1"/>
  </cols>
  <sheetData>
    <row r="2" spans="2:5" ht="12.75">
      <c r="B2" s="109" t="s">
        <v>325</v>
      </c>
      <c r="E2" s="32"/>
    </row>
    <row r="4" spans="2:3" ht="15">
      <c r="B4" s="105" t="s">
        <v>245</v>
      </c>
      <c r="C4" s="109" t="s">
        <v>190</v>
      </c>
    </row>
    <row r="5" spans="2:3" ht="14.25">
      <c r="B5" s="102"/>
      <c r="C5" s="102"/>
    </row>
    <row r="6" spans="2:4" ht="14.25">
      <c r="B6" s="102" t="s">
        <v>194</v>
      </c>
      <c r="C6" s="103">
        <f>(C34*0.05)+13963</f>
        <v>14681</v>
      </c>
      <c r="D6" s="32"/>
    </row>
    <row r="7" spans="2:4" ht="14.25">
      <c r="B7" s="102" t="s">
        <v>195</v>
      </c>
      <c r="C7" s="103">
        <f>(C35*0.05)+12871</f>
        <v>13534</v>
      </c>
      <c r="D7" s="32"/>
    </row>
    <row r="8" spans="2:4" ht="14.25">
      <c r="B8" s="102" t="s">
        <v>197</v>
      </c>
      <c r="C8" s="103">
        <f>(C36*0.05)+22563</f>
        <v>23711</v>
      </c>
      <c r="D8" s="32"/>
    </row>
    <row r="9" spans="2:4" ht="14.25">
      <c r="B9" s="102" t="s">
        <v>278</v>
      </c>
      <c r="C9" s="103">
        <f>(C37*0.05)+1175</f>
        <v>1240</v>
      </c>
      <c r="D9" s="32"/>
    </row>
    <row r="10" spans="2:4" ht="14.25">
      <c r="B10" s="102" t="s">
        <v>196</v>
      </c>
      <c r="C10" s="103">
        <f>(C38*0.05)+928</f>
        <v>974</v>
      </c>
      <c r="D10" s="32"/>
    </row>
    <row r="11" spans="2:3" ht="15">
      <c r="B11" s="105" t="s">
        <v>198</v>
      </c>
      <c r="C11" s="106">
        <f>SUM(C6:C10)</f>
        <v>54140</v>
      </c>
    </row>
    <row r="12" spans="2:3" ht="15">
      <c r="B12" s="36"/>
      <c r="C12" s="36"/>
    </row>
    <row r="13" spans="2:3" ht="15">
      <c r="B13" s="36"/>
      <c r="C13" s="36"/>
    </row>
    <row r="14" spans="2:3" ht="15">
      <c r="B14" s="105" t="s">
        <v>244</v>
      </c>
      <c r="C14" s="109" t="s">
        <v>190</v>
      </c>
    </row>
    <row r="15" spans="2:3" ht="14.25">
      <c r="B15" s="102"/>
      <c r="C15" s="102"/>
    </row>
    <row r="16" spans="2:3" ht="14.25">
      <c r="B16" s="102" t="s">
        <v>283</v>
      </c>
      <c r="C16" s="103">
        <v>2015</v>
      </c>
    </row>
    <row r="17" spans="2:3" ht="14.25">
      <c r="B17" s="102" t="s">
        <v>270</v>
      </c>
      <c r="C17" s="103">
        <f>8937+300</f>
        <v>9237</v>
      </c>
    </row>
    <row r="18" spans="2:4" ht="14.25">
      <c r="B18" s="113" t="s">
        <v>273</v>
      </c>
      <c r="C18" s="114">
        <f>C19+C20+C21+C22+C23+C24</f>
        <v>3618</v>
      </c>
      <c r="D18" s="32"/>
    </row>
    <row r="19" spans="2:3" ht="14.25">
      <c r="B19" s="104" t="s">
        <v>318</v>
      </c>
      <c r="C19" s="103">
        <v>1000</v>
      </c>
    </row>
    <row r="20" spans="2:3" ht="14.25">
      <c r="B20" s="104" t="s">
        <v>319</v>
      </c>
      <c r="C20" s="103">
        <v>600</v>
      </c>
    </row>
    <row r="21" spans="2:3" ht="14.25">
      <c r="B21" s="104" t="s">
        <v>321</v>
      </c>
      <c r="C21" s="103">
        <v>216</v>
      </c>
    </row>
    <row r="22" spans="2:3" ht="14.25">
      <c r="B22" s="104" t="s">
        <v>320</v>
      </c>
      <c r="C22" s="103">
        <v>50</v>
      </c>
    </row>
    <row r="23" spans="2:3" ht="14.25">
      <c r="B23" s="104" t="s">
        <v>322</v>
      </c>
      <c r="C23" s="103">
        <v>1583</v>
      </c>
    </row>
    <row r="24" spans="2:3" ht="14.25">
      <c r="B24" s="104" t="s">
        <v>323</v>
      </c>
      <c r="C24" s="103">
        <v>169</v>
      </c>
    </row>
    <row r="25" spans="2:4" ht="14.25" customHeight="1">
      <c r="B25" s="105" t="s">
        <v>198</v>
      </c>
      <c r="C25" s="107">
        <f>C16+C17+C18</f>
        <v>14870</v>
      </c>
      <c r="D25" s="32"/>
    </row>
    <row r="26" spans="2:5" ht="14.25" customHeight="1">
      <c r="B26" s="105"/>
      <c r="C26" s="107"/>
      <c r="D26" s="32"/>
      <c r="E26" s="32"/>
    </row>
    <row r="27" ht="14.25">
      <c r="B27" s="30" t="s">
        <v>292</v>
      </c>
    </row>
    <row r="28" ht="14.25">
      <c r="B28" s="30"/>
    </row>
    <row r="29" spans="2:3" ht="12.75">
      <c r="B29" s="13" t="s">
        <v>324</v>
      </c>
      <c r="C29" s="32"/>
    </row>
    <row r="31" spans="2:6" ht="12.75">
      <c r="B31" s="109" t="s">
        <v>326</v>
      </c>
      <c r="F31" s="32"/>
    </row>
    <row r="33" spans="2:6" ht="15">
      <c r="B33" s="105" t="s">
        <v>246</v>
      </c>
      <c r="C33" s="109" t="s">
        <v>190</v>
      </c>
      <c r="F33" s="32"/>
    </row>
    <row r="34" spans="2:3" ht="14.25">
      <c r="B34" s="102" t="s">
        <v>194</v>
      </c>
      <c r="C34" s="103">
        <f>(((1400971*6)+(926150*6))/1000)+387</f>
        <v>14350</v>
      </c>
    </row>
    <row r="35" spans="2:3" ht="14.25">
      <c r="B35" s="102" t="s">
        <v>195</v>
      </c>
      <c r="C35" s="103">
        <f>(((1255025*6)+(890182*6))/1000)+387.5</f>
        <v>13259</v>
      </c>
    </row>
    <row r="36" spans="2:4" ht="14.25">
      <c r="B36" s="102" t="s">
        <v>197</v>
      </c>
      <c r="C36" s="103">
        <f>((((3105960*6)+(654540*6))/1000))+387.5</f>
        <v>22951</v>
      </c>
      <c r="D36" s="140"/>
    </row>
    <row r="37" spans="2:3" ht="14.25">
      <c r="B37" s="102" t="s">
        <v>279</v>
      </c>
      <c r="C37" s="103">
        <f>((((783209/4)*12)/2)/1000)+116.4</f>
        <v>1291</v>
      </c>
    </row>
    <row r="38" spans="2:3" ht="14.25">
      <c r="B38" s="102" t="s">
        <v>196</v>
      </c>
      <c r="C38" s="103">
        <f>((773741*0.2)+773741)/1000</f>
        <v>928</v>
      </c>
    </row>
    <row r="39" spans="2:3" ht="15">
      <c r="B39" s="105" t="s">
        <v>198</v>
      </c>
      <c r="C39" s="108">
        <f>SUM(C34:C38)</f>
        <v>52779</v>
      </c>
    </row>
    <row r="41" spans="2:3" ht="15">
      <c r="B41" s="105" t="s">
        <v>247</v>
      </c>
      <c r="C41" s="109" t="s">
        <v>190</v>
      </c>
    </row>
    <row r="42" spans="2:3" ht="14.25">
      <c r="B42" s="30" t="s">
        <v>248</v>
      </c>
      <c r="C42" s="86">
        <f>1.655+6.519</f>
        <v>8</v>
      </c>
    </row>
    <row r="43" spans="2:3" ht="14.25">
      <c r="B43" s="30" t="s">
        <v>249</v>
      </c>
      <c r="C43" s="86">
        <f>(59.429+314.107+307.189)+35</f>
        <v>716</v>
      </c>
    </row>
    <row r="44" spans="2:3" ht="14.25">
      <c r="B44" s="30" t="s">
        <v>250</v>
      </c>
      <c r="C44" s="86">
        <f>C43*0.22</f>
        <v>158</v>
      </c>
    </row>
    <row r="45" spans="2:3" ht="14.25">
      <c r="B45" s="30" t="s">
        <v>251</v>
      </c>
      <c r="C45" s="86">
        <f>(19.04+2.066+107.649+2.085)+10</f>
        <v>141</v>
      </c>
    </row>
    <row r="46" spans="2:3" ht="14.25">
      <c r="B46" s="30" t="s">
        <v>274</v>
      </c>
      <c r="C46" s="86">
        <v>1</v>
      </c>
    </row>
    <row r="47" spans="2:3" ht="14.25">
      <c r="B47" s="30" t="s">
        <v>252</v>
      </c>
      <c r="C47" s="86">
        <v>3</v>
      </c>
    </row>
    <row r="48" spans="2:3" ht="14.25">
      <c r="B48" s="30" t="s">
        <v>253</v>
      </c>
      <c r="C48" s="86">
        <f>0.349/3*12</f>
        <v>1</v>
      </c>
    </row>
    <row r="49" spans="2:5" ht="15">
      <c r="B49" s="105" t="s">
        <v>198</v>
      </c>
      <c r="C49" s="108">
        <f>SUM(C42:C48)</f>
        <v>1028</v>
      </c>
      <c r="E49" s="32"/>
    </row>
    <row r="51" spans="2:3" ht="15">
      <c r="B51" s="105" t="s">
        <v>254</v>
      </c>
      <c r="C51" s="109" t="s">
        <v>190</v>
      </c>
    </row>
    <row r="52" spans="2:3" ht="14.25">
      <c r="B52" s="102" t="s">
        <v>291</v>
      </c>
      <c r="C52" s="103">
        <f>1632.767*4</f>
        <v>6531</v>
      </c>
    </row>
    <row r="53" spans="2:3" ht="14.25">
      <c r="B53" s="102" t="s">
        <v>307</v>
      </c>
      <c r="C53" s="103">
        <f>((221.8/3)*12)</f>
        <v>887</v>
      </c>
    </row>
    <row r="54" spans="2:3" ht="14.25">
      <c r="B54" s="102" t="s">
        <v>275</v>
      </c>
      <c r="C54" s="103">
        <f>15.549/3*12</f>
        <v>62</v>
      </c>
    </row>
    <row r="55" spans="2:4" ht="14.25">
      <c r="B55" s="113" t="s">
        <v>273</v>
      </c>
      <c r="C55" s="114">
        <f>C56+C57+C58+C59+C60+C61</f>
        <v>3618</v>
      </c>
      <c r="D55" s="32"/>
    </row>
    <row r="56" spans="2:3" ht="14.25">
      <c r="B56" s="104" t="s">
        <v>318</v>
      </c>
      <c r="C56" s="103">
        <v>1000</v>
      </c>
    </row>
    <row r="57" spans="2:3" ht="14.25">
      <c r="B57" s="104" t="s">
        <v>319</v>
      </c>
      <c r="C57" s="103">
        <v>600</v>
      </c>
    </row>
    <row r="58" spans="2:3" ht="14.25">
      <c r="B58" s="104" t="s">
        <v>321</v>
      </c>
      <c r="C58" s="103">
        <v>216</v>
      </c>
    </row>
    <row r="59" spans="2:3" ht="14.25">
      <c r="B59" s="104" t="s">
        <v>320</v>
      </c>
      <c r="C59" s="103">
        <v>50</v>
      </c>
    </row>
    <row r="60" spans="2:3" ht="14.25">
      <c r="B60" s="104" t="s">
        <v>322</v>
      </c>
      <c r="C60" s="103">
        <v>1583</v>
      </c>
    </row>
    <row r="61" spans="2:3" ht="14.25">
      <c r="B61" s="104" t="s">
        <v>323</v>
      </c>
      <c r="C61" s="103">
        <v>169</v>
      </c>
    </row>
    <row r="62" spans="2:4" ht="15">
      <c r="B62" s="105" t="s">
        <v>198</v>
      </c>
      <c r="C62" s="107">
        <f>C52+C54+C55</f>
        <v>10211</v>
      </c>
      <c r="D62" s="32"/>
    </row>
    <row r="64" spans="2:3" ht="12.75">
      <c r="B64" s="109" t="s">
        <v>255</v>
      </c>
      <c r="C64" s="109" t="s">
        <v>190</v>
      </c>
    </row>
    <row r="65" spans="2:3" ht="14.25">
      <c r="B65" s="30" t="s">
        <v>310</v>
      </c>
      <c r="C65" s="86">
        <f>48+7</f>
        <v>55</v>
      </c>
    </row>
    <row r="66" spans="2:3" ht="14.25">
      <c r="B66" s="30" t="s">
        <v>285</v>
      </c>
      <c r="C66" s="86">
        <f>0.512+1.031</f>
        <v>2</v>
      </c>
    </row>
    <row r="67" spans="2:3" ht="14.25">
      <c r="B67" s="30" t="s">
        <v>271</v>
      </c>
      <c r="C67" s="86">
        <v>137</v>
      </c>
    </row>
    <row r="68" spans="2:6" ht="14.25">
      <c r="B68" s="30" t="s">
        <v>286</v>
      </c>
      <c r="C68" s="86">
        <f>((892.06/4)*12)+((892.06*0.05)*12)</f>
        <v>3211</v>
      </c>
      <c r="F68" s="86"/>
    </row>
    <row r="69" spans="2:3" ht="14.25">
      <c r="B69" s="30" t="s">
        <v>250</v>
      </c>
      <c r="C69" s="86">
        <f>C68*0.22</f>
        <v>706</v>
      </c>
    </row>
    <row r="70" spans="2:3" ht="14.25">
      <c r="B70" s="30" t="s">
        <v>256</v>
      </c>
      <c r="C70" s="86">
        <v>15</v>
      </c>
    </row>
    <row r="71" spans="2:3" ht="14.25">
      <c r="B71" s="30" t="s">
        <v>288</v>
      </c>
      <c r="C71" s="86">
        <f>25.16+28.803</f>
        <v>54</v>
      </c>
    </row>
    <row r="72" spans="2:3" ht="14.25">
      <c r="B72" s="30" t="s">
        <v>257</v>
      </c>
      <c r="C72" s="86">
        <v>44</v>
      </c>
    </row>
    <row r="73" spans="2:3" ht="14.25">
      <c r="B73" s="30" t="s">
        <v>253</v>
      </c>
      <c r="C73" s="86">
        <v>5</v>
      </c>
    </row>
    <row r="74" spans="2:3" ht="14.25">
      <c r="B74" s="30" t="s">
        <v>258</v>
      </c>
      <c r="C74" s="86">
        <v>13</v>
      </c>
    </row>
    <row r="75" spans="2:3" ht="14.25">
      <c r="B75" s="30" t="s">
        <v>272</v>
      </c>
      <c r="C75" s="86">
        <v>30</v>
      </c>
    </row>
    <row r="76" spans="2:3" ht="14.25">
      <c r="B76" s="30" t="s">
        <v>294</v>
      </c>
      <c r="C76" s="86">
        <v>9</v>
      </c>
    </row>
    <row r="77" spans="2:3" ht="14.25">
      <c r="B77" s="30" t="s">
        <v>276</v>
      </c>
      <c r="C77" s="86">
        <v>211</v>
      </c>
    </row>
    <row r="78" spans="2:3" ht="14.25">
      <c r="B78" s="30" t="s">
        <v>282</v>
      </c>
      <c r="C78" s="86">
        <v>7</v>
      </c>
    </row>
    <row r="79" spans="2:3" ht="14.25">
      <c r="B79" s="30" t="s">
        <v>308</v>
      </c>
      <c r="C79" s="86">
        <v>120</v>
      </c>
    </row>
    <row r="80" spans="2:3" ht="14.25">
      <c r="B80" s="30" t="s">
        <v>277</v>
      </c>
      <c r="C80" s="86">
        <v>49</v>
      </c>
    </row>
    <row r="81" spans="2:3" ht="14.25">
      <c r="B81" s="30" t="s">
        <v>287</v>
      </c>
      <c r="C81" s="86">
        <v>0</v>
      </c>
    </row>
    <row r="82" spans="2:3" ht="14.25">
      <c r="B82" s="30" t="s">
        <v>309</v>
      </c>
      <c r="C82" s="86">
        <v>24</v>
      </c>
    </row>
    <row r="83" spans="2:3" ht="14.25">
      <c r="B83" s="142" t="s">
        <v>327</v>
      </c>
      <c r="C83" s="86">
        <f>SUM(C65:C82)</f>
        <v>4692</v>
      </c>
    </row>
    <row r="84" spans="2:5" ht="12.75">
      <c r="B84" s="109" t="s">
        <v>259</v>
      </c>
      <c r="C84" s="108">
        <f>C39+C49+C62+C83</f>
        <v>68710</v>
      </c>
      <c r="E84" s="32"/>
    </row>
    <row r="85" spans="2:5" ht="12.75">
      <c r="B85" s="109"/>
      <c r="C85" s="108"/>
      <c r="E85" s="32"/>
    </row>
    <row r="86" ht="14.25">
      <c r="B86" s="30" t="s">
        <v>292</v>
      </c>
    </row>
    <row r="87" ht="12.75">
      <c r="B87" s="13" t="s">
        <v>324</v>
      </c>
    </row>
  </sheetData>
  <sheetProtection/>
  <printOptions/>
  <pageMargins left="0.28" right="0.17" top="0.34" bottom="0.33" header="0.2" footer="0.2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C247"/>
  <sheetViews>
    <sheetView tabSelected="1" zoomScale="150" zoomScaleNormal="150" zoomScalePageLayoutView="0" workbookViewId="0" topLeftCell="A59">
      <selection activeCell="K35" sqref="K35"/>
    </sheetView>
  </sheetViews>
  <sheetFormatPr defaultColWidth="9.140625" defaultRowHeight="12.75"/>
  <cols>
    <col min="1" max="1" width="27.140625" style="0" customWidth="1"/>
    <col min="2" max="2" width="8.7109375" style="0" customWidth="1"/>
    <col min="3" max="3" width="8.421875" style="0" customWidth="1"/>
    <col min="4" max="4" width="8.00390625" style="0" customWidth="1"/>
    <col min="5" max="5" width="10.8515625" style="0" customWidth="1"/>
    <col min="6" max="6" width="8.57421875" style="0" customWidth="1"/>
    <col min="7" max="7" width="8.421875" style="0" customWidth="1"/>
    <col min="8" max="8" width="7.8515625" style="0" customWidth="1"/>
    <col min="9" max="9" width="8.140625" style="0" customWidth="1"/>
  </cols>
  <sheetData>
    <row r="3" spans="1:4" ht="12.75">
      <c r="A3" t="s">
        <v>0</v>
      </c>
      <c r="D3" t="s">
        <v>1</v>
      </c>
    </row>
    <row r="5" spans="1:5" ht="12.75">
      <c r="A5" t="s">
        <v>329</v>
      </c>
      <c r="E5" t="s">
        <v>335</v>
      </c>
    </row>
    <row r="6" ht="12.75">
      <c r="A6" t="s">
        <v>260</v>
      </c>
    </row>
    <row r="7" spans="1:5" ht="12.75">
      <c r="A7" t="s">
        <v>330</v>
      </c>
      <c r="E7" t="s">
        <v>333</v>
      </c>
    </row>
    <row r="9" spans="6:7" ht="12.75">
      <c r="F9" t="s">
        <v>2</v>
      </c>
      <c r="G9" s="41" t="s">
        <v>304</v>
      </c>
    </row>
    <row r="11" spans="1:7" ht="12.75">
      <c r="A11" t="s">
        <v>3</v>
      </c>
      <c r="F11" s="115" t="s">
        <v>4</v>
      </c>
      <c r="G11" s="115">
        <v>30536302</v>
      </c>
    </row>
    <row r="12" spans="1:7" ht="12.75">
      <c r="A12" t="s">
        <v>5</v>
      </c>
      <c r="C12" t="s">
        <v>6</v>
      </c>
      <c r="F12" s="115" t="s">
        <v>7</v>
      </c>
      <c r="G12" s="115"/>
    </row>
    <row r="13" spans="1:7" ht="12.75">
      <c r="A13" t="s">
        <v>8</v>
      </c>
      <c r="C13" t="s">
        <v>311</v>
      </c>
      <c r="F13" s="115" t="s">
        <v>9</v>
      </c>
      <c r="G13" s="115"/>
    </row>
    <row r="14" spans="1:7" ht="12.75">
      <c r="A14" t="s">
        <v>298</v>
      </c>
      <c r="B14" t="s">
        <v>295</v>
      </c>
      <c r="F14" s="115" t="s">
        <v>10</v>
      </c>
      <c r="G14" s="115"/>
    </row>
    <row r="15" spans="1:7" ht="12.75">
      <c r="A15" t="s">
        <v>11</v>
      </c>
      <c r="F15" s="115"/>
      <c r="G15" s="115"/>
    </row>
    <row r="16" spans="1:7" ht="12.75">
      <c r="A16" t="s">
        <v>12</v>
      </c>
      <c r="B16" t="s">
        <v>296</v>
      </c>
      <c r="F16" s="115" t="s">
        <v>13</v>
      </c>
      <c r="G16" s="141">
        <v>35.3</v>
      </c>
    </row>
    <row r="17" ht="12.75">
      <c r="B17" t="s">
        <v>297</v>
      </c>
    </row>
    <row r="18" spans="1:3" ht="12.75">
      <c r="A18" t="s">
        <v>14</v>
      </c>
      <c r="C18" t="s">
        <v>15</v>
      </c>
    </row>
    <row r="19" spans="1:2" ht="12.75">
      <c r="A19" t="s">
        <v>16</v>
      </c>
      <c r="B19" t="s">
        <v>6</v>
      </c>
    </row>
    <row r="20" spans="1:2" ht="12.75">
      <c r="A20" t="s">
        <v>17</v>
      </c>
      <c r="B20">
        <v>291</v>
      </c>
    </row>
    <row r="21" spans="1:2" ht="12.75">
      <c r="A21" t="s">
        <v>18</v>
      </c>
      <c r="B21" t="s">
        <v>334</v>
      </c>
    </row>
    <row r="22" spans="1:2" ht="12.75">
      <c r="A22" t="s">
        <v>293</v>
      </c>
      <c r="B22" s="139" t="s">
        <v>305</v>
      </c>
    </row>
    <row r="23" spans="1:2" ht="12.75">
      <c r="A23" t="s">
        <v>19</v>
      </c>
      <c r="B23" t="s">
        <v>313</v>
      </c>
    </row>
    <row r="26" spans="3:6" ht="15">
      <c r="C26" s="25" t="s">
        <v>20</v>
      </c>
      <c r="D26" s="12"/>
      <c r="E26" s="12"/>
      <c r="F26" s="12"/>
    </row>
    <row r="28" ht="15">
      <c r="D28" s="25" t="s">
        <v>306</v>
      </c>
    </row>
    <row r="30" ht="12.75">
      <c r="C30" t="s">
        <v>21</v>
      </c>
    </row>
    <row r="31" ht="15">
      <c r="C31" s="25" t="s">
        <v>22</v>
      </c>
    </row>
    <row r="32" spans="1:9" ht="12.75">
      <c r="A32" s="1" t="s">
        <v>23</v>
      </c>
      <c r="B32" s="4" t="s">
        <v>24</v>
      </c>
      <c r="C32" s="5" t="s">
        <v>25</v>
      </c>
      <c r="D32" s="4" t="s">
        <v>25</v>
      </c>
      <c r="E32" s="5" t="s">
        <v>26</v>
      </c>
      <c r="F32" s="157" t="s">
        <v>91</v>
      </c>
      <c r="G32" s="4"/>
      <c r="H32" s="4"/>
      <c r="I32" s="6"/>
    </row>
    <row r="33" spans="1:9" ht="12.75">
      <c r="A33" s="2"/>
      <c r="B33" s="7" t="s">
        <v>27</v>
      </c>
      <c r="C33" s="8" t="s">
        <v>28</v>
      </c>
      <c r="D33" s="7" t="s">
        <v>29</v>
      </c>
      <c r="E33" s="8" t="s">
        <v>30</v>
      </c>
      <c r="F33" s="158"/>
      <c r="G33" s="9"/>
      <c r="H33" s="9"/>
      <c r="I33" s="10"/>
    </row>
    <row r="34" spans="1:14" ht="12.75">
      <c r="A34" s="2"/>
      <c r="B34" s="7"/>
      <c r="C34" s="8" t="s">
        <v>35</v>
      </c>
      <c r="D34" s="7" t="s">
        <v>36</v>
      </c>
      <c r="E34" s="8" t="s">
        <v>37</v>
      </c>
      <c r="F34" s="163" t="s">
        <v>31</v>
      </c>
      <c r="G34" s="5" t="s">
        <v>32</v>
      </c>
      <c r="H34" s="7" t="s">
        <v>33</v>
      </c>
      <c r="I34" s="5" t="s">
        <v>34</v>
      </c>
      <c r="J34" s="29"/>
      <c r="K34" s="29"/>
      <c r="L34" s="29"/>
      <c r="M34" s="29"/>
      <c r="N34" s="29"/>
    </row>
    <row r="35" spans="1:14" ht="12.75">
      <c r="A35" s="3"/>
      <c r="B35" s="9"/>
      <c r="C35" s="11" t="s">
        <v>38</v>
      </c>
      <c r="D35" s="9" t="s">
        <v>38</v>
      </c>
      <c r="E35" s="11"/>
      <c r="F35" s="158" t="s">
        <v>39</v>
      </c>
      <c r="G35" s="11" t="s">
        <v>39</v>
      </c>
      <c r="H35" s="9" t="s">
        <v>39</v>
      </c>
      <c r="I35" s="11" t="s">
        <v>39</v>
      </c>
      <c r="J35" s="29"/>
      <c r="K35" s="29"/>
      <c r="L35" s="29"/>
      <c r="M35" s="29"/>
      <c r="N35" s="29"/>
    </row>
    <row r="36" spans="1:14" ht="18.75" customHeight="1">
      <c r="A36" s="16" t="s">
        <v>40</v>
      </c>
      <c r="B36" s="26" t="s">
        <v>23</v>
      </c>
      <c r="C36" s="18"/>
      <c r="D36" s="18"/>
      <c r="E36" s="18"/>
      <c r="F36" s="159"/>
      <c r="G36" s="18"/>
      <c r="H36" s="14"/>
      <c r="I36" s="18"/>
      <c r="J36" s="29"/>
      <c r="K36" s="29"/>
      <c r="L36" s="29"/>
      <c r="M36" s="29"/>
      <c r="N36" s="29"/>
    </row>
    <row r="37" spans="1:133" ht="39.75" customHeight="1">
      <c r="A37" s="17" t="s">
        <v>41</v>
      </c>
      <c r="B37" s="28">
        <v>1</v>
      </c>
      <c r="C37" s="45">
        <v>51709</v>
      </c>
      <c r="D37" s="45">
        <v>66881</v>
      </c>
      <c r="E37" s="45">
        <v>64968</v>
      </c>
      <c r="F37" s="45">
        <f>14084*1.2-478</f>
        <v>16423</v>
      </c>
      <c r="G37" s="89">
        <f>13783*1.2-478</f>
        <v>16062</v>
      </c>
      <c r="H37" s="45">
        <f>16359-479</f>
        <v>15880</v>
      </c>
      <c r="I37" s="45">
        <f>14234*1.2-478</f>
        <v>16603</v>
      </c>
      <c r="J37" s="136"/>
      <c r="K37" s="135"/>
      <c r="L37" s="49"/>
      <c r="M37" s="35"/>
      <c r="N37" s="49"/>
      <c r="O37" s="4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</row>
    <row r="38" spans="1:133" ht="15.75" customHeight="1">
      <c r="A38" s="18" t="s">
        <v>42</v>
      </c>
      <c r="B38" s="28">
        <v>2</v>
      </c>
      <c r="C38" s="45">
        <v>8618</v>
      </c>
      <c r="D38" s="45">
        <v>11147</v>
      </c>
      <c r="E38" s="45">
        <v>10828</v>
      </c>
      <c r="F38" s="45">
        <f>F37-F42</f>
        <v>2936</v>
      </c>
      <c r="G38" s="45">
        <f>G37-G42</f>
        <v>2579</v>
      </c>
      <c r="H38" s="45">
        <f>H37-H42</f>
        <v>2347</v>
      </c>
      <c r="I38" s="45">
        <f>I37-I42</f>
        <v>2966</v>
      </c>
      <c r="J38" s="136"/>
      <c r="K38" s="135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</row>
    <row r="39" spans="1:133" s="14" customFormat="1" ht="14.25" customHeight="1">
      <c r="A39" s="18" t="s">
        <v>233</v>
      </c>
      <c r="B39" s="28">
        <v>3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35"/>
      <c r="K39" s="135"/>
      <c r="L39" s="29"/>
      <c r="M39" s="35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</row>
    <row r="40" spans="1:133" ht="25.5">
      <c r="A40" s="17" t="s">
        <v>234</v>
      </c>
      <c r="B40" s="28">
        <v>4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35"/>
      <c r="K40" s="135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</row>
    <row r="41" spans="1:133" ht="25.5">
      <c r="A41" s="17" t="s">
        <v>236</v>
      </c>
      <c r="B41" s="28">
        <v>5</v>
      </c>
      <c r="C41" s="18"/>
      <c r="D41" s="18"/>
      <c r="E41" s="18"/>
      <c r="F41" s="18"/>
      <c r="G41" s="18"/>
      <c r="H41" s="18"/>
      <c r="I41" s="18"/>
      <c r="J41" s="135"/>
      <c r="K41" s="135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</row>
    <row r="42" spans="1:133" ht="51">
      <c r="A42" s="17" t="s">
        <v>43</v>
      </c>
      <c r="B42" s="28">
        <v>6</v>
      </c>
      <c r="C42" s="45">
        <f>C37-C38</f>
        <v>43091</v>
      </c>
      <c r="D42" s="45">
        <f>D37-D38</f>
        <v>55734</v>
      </c>
      <c r="E42" s="45">
        <f>'собіварт в фін.план.'!C11</f>
        <v>54140</v>
      </c>
      <c r="F42" s="45">
        <f>13934+100+50-797+200</f>
        <v>13487</v>
      </c>
      <c r="G42" s="45">
        <f>13933-100-50-300</f>
        <v>13483</v>
      </c>
      <c r="H42" s="45">
        <f>13933-200-100-100</f>
        <v>13533</v>
      </c>
      <c r="I42" s="45">
        <f>13934+200+100-597</f>
        <v>13637</v>
      </c>
      <c r="J42" s="136"/>
      <c r="K42" s="135"/>
      <c r="L42" s="35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</row>
    <row r="43" spans="1:133" s="14" customFormat="1" ht="23.25" customHeight="1">
      <c r="A43" s="17" t="s">
        <v>44</v>
      </c>
      <c r="B43" s="28">
        <v>7</v>
      </c>
      <c r="C43" s="45">
        <v>15998</v>
      </c>
      <c r="D43" s="45">
        <v>24045</v>
      </c>
      <c r="E43" s="45">
        <f>'собіварт в фін.план.'!C25</f>
        <v>14870</v>
      </c>
      <c r="F43" s="45">
        <f>3717-30</f>
        <v>3687</v>
      </c>
      <c r="G43" s="45">
        <f>3717+10+5</f>
        <v>3732</v>
      </c>
      <c r="H43" s="45">
        <f>3718+10-5</f>
        <v>3723</v>
      </c>
      <c r="I43" s="45">
        <f>3718+10</f>
        <v>3728</v>
      </c>
      <c r="J43" s="136"/>
      <c r="K43" s="135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</row>
    <row r="44" spans="1:133" ht="25.5">
      <c r="A44" s="17" t="s">
        <v>45</v>
      </c>
      <c r="B44" s="28">
        <v>8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35"/>
      <c r="K44" s="135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</row>
    <row r="45" spans="1:133" s="14" customFormat="1" ht="25.5" customHeight="1">
      <c r="A45" s="17" t="s">
        <v>46</v>
      </c>
      <c r="B45" s="28">
        <v>9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35"/>
      <c r="K45" s="135"/>
      <c r="L45" s="4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</row>
    <row r="46" spans="1:133" ht="15" customHeight="1">
      <c r="A46" s="18" t="s">
        <v>280</v>
      </c>
      <c r="B46" s="28">
        <v>10</v>
      </c>
      <c r="C46" s="45">
        <v>29612</v>
      </c>
      <c r="D46" s="45">
        <v>25960</v>
      </c>
      <c r="E46" s="45">
        <f>F46+G46+H46+I46</f>
        <v>32968</v>
      </c>
      <c r="F46" s="45">
        <f>8242</f>
        <v>8242</v>
      </c>
      <c r="G46" s="45">
        <v>8242</v>
      </c>
      <c r="H46" s="45">
        <v>8242</v>
      </c>
      <c r="I46" s="45">
        <v>8242</v>
      </c>
      <c r="J46" s="136"/>
      <c r="K46" s="135"/>
      <c r="L46" s="49"/>
      <c r="M46" s="49"/>
      <c r="N46" s="35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</row>
    <row r="47" spans="1:133" ht="63.75" customHeight="1">
      <c r="A47" s="17" t="s">
        <v>235</v>
      </c>
      <c r="B47" s="28">
        <v>11</v>
      </c>
      <c r="C47" s="99"/>
      <c r="D47" s="99"/>
      <c r="E47" s="99"/>
      <c r="F47" s="99"/>
      <c r="G47" s="99"/>
      <c r="H47" s="99"/>
      <c r="I47" s="99"/>
      <c r="J47" s="136"/>
      <c r="K47" s="135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</row>
    <row r="48" spans="1:133" s="14" customFormat="1" ht="15" customHeight="1">
      <c r="A48" s="20" t="s">
        <v>47</v>
      </c>
      <c r="B48" s="28">
        <v>12</v>
      </c>
      <c r="C48" s="47">
        <f aca="true" t="shared" si="0" ref="C48:I48">C42+C43+C46</f>
        <v>88701</v>
      </c>
      <c r="D48" s="47">
        <f>D42+D43+D46</f>
        <v>105739</v>
      </c>
      <c r="E48" s="47">
        <f t="shared" si="0"/>
        <v>101978</v>
      </c>
      <c r="F48" s="47">
        <f t="shared" si="0"/>
        <v>25416</v>
      </c>
      <c r="G48" s="47">
        <f t="shared" si="0"/>
        <v>25457</v>
      </c>
      <c r="H48" s="47">
        <f t="shared" si="0"/>
        <v>25498</v>
      </c>
      <c r="I48" s="47">
        <f t="shared" si="0"/>
        <v>25607</v>
      </c>
      <c r="J48" s="136"/>
      <c r="K48" s="135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</row>
    <row r="49" spans="1:133" ht="15" customHeight="1">
      <c r="A49" s="21" t="s">
        <v>48</v>
      </c>
      <c r="B49" s="27" t="s">
        <v>23</v>
      </c>
      <c r="C49" s="46"/>
      <c r="D49" s="46"/>
      <c r="E49" s="46"/>
      <c r="F49" s="160"/>
      <c r="G49" s="46"/>
      <c r="H49" s="49"/>
      <c r="I49" s="46"/>
      <c r="J49" s="135"/>
      <c r="K49" s="135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</row>
    <row r="50" spans="1:133" s="14" customFormat="1" ht="38.25">
      <c r="A50" s="17" t="s">
        <v>49</v>
      </c>
      <c r="B50" s="28">
        <v>13</v>
      </c>
      <c r="C50" s="45">
        <v>51209</v>
      </c>
      <c r="D50" s="45">
        <v>51979</v>
      </c>
      <c r="E50" s="45">
        <f>'собіварт в фін.план.'!C39</f>
        <v>52779</v>
      </c>
      <c r="F50" s="89">
        <f>12995+150+4-15</f>
        <v>13134</v>
      </c>
      <c r="G50" s="45">
        <f>12995-150+400-100+15</f>
        <v>13160</v>
      </c>
      <c r="H50" s="45">
        <f>12995-300-3+400+100</f>
        <v>13192</v>
      </c>
      <c r="I50" s="45">
        <f>12995+300-2</f>
        <v>13293</v>
      </c>
      <c r="J50" s="136"/>
      <c r="K50" s="136"/>
      <c r="L50" s="136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</row>
    <row r="51" spans="1:133" ht="25.5" customHeight="1">
      <c r="A51" s="17" t="s">
        <v>192</v>
      </c>
      <c r="B51" s="28">
        <v>14</v>
      </c>
      <c r="C51" s="45">
        <f>C52+C53+C54+C55+C56</f>
        <v>4248</v>
      </c>
      <c r="D51" s="45">
        <f>D52+D53+D54+D55+D56</f>
        <v>3416</v>
      </c>
      <c r="E51" s="45">
        <f>E52+E53+E54+E55+E56</f>
        <v>4692</v>
      </c>
      <c r="F51" s="45">
        <f>F52+F56</f>
        <v>1173</v>
      </c>
      <c r="G51" s="45">
        <f>G52+G56</f>
        <v>1173</v>
      </c>
      <c r="H51" s="45">
        <f>H52+H56</f>
        <v>1173</v>
      </c>
      <c r="I51" s="45">
        <f>I52+I56</f>
        <v>1173</v>
      </c>
      <c r="J51" s="136"/>
      <c r="K51" s="135"/>
      <c r="L51" s="137"/>
      <c r="M51" s="29"/>
      <c r="N51" s="35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</row>
    <row r="52" spans="1:133" ht="38.25" customHeight="1">
      <c r="A52" s="17" t="s">
        <v>191</v>
      </c>
      <c r="B52" s="28" t="s">
        <v>237</v>
      </c>
      <c r="C52" s="45">
        <v>0</v>
      </c>
      <c r="D52" s="45">
        <v>120</v>
      </c>
      <c r="E52" s="45">
        <v>0</v>
      </c>
      <c r="F52" s="45">
        <v>0</v>
      </c>
      <c r="G52" s="45">
        <v>0</v>
      </c>
      <c r="H52" s="89">
        <v>0</v>
      </c>
      <c r="I52" s="45">
        <v>0</v>
      </c>
      <c r="J52" s="136"/>
      <c r="K52" s="135"/>
      <c r="L52" s="13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</row>
    <row r="53" spans="1:133" s="14" customFormat="1" ht="15" customHeight="1">
      <c r="A53" s="18" t="s">
        <v>50</v>
      </c>
      <c r="B53" s="28" t="s">
        <v>238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135"/>
      <c r="K53" s="135"/>
      <c r="L53" s="135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</row>
    <row r="54" spans="1:133" ht="15.75" customHeight="1">
      <c r="A54" s="18" t="s">
        <v>51</v>
      </c>
      <c r="B54" s="28" t="s">
        <v>239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135"/>
      <c r="K54" s="135"/>
      <c r="L54" s="135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</row>
    <row r="55" spans="1:133" s="14" customFormat="1" ht="15" customHeight="1">
      <c r="A55" s="18" t="s">
        <v>52</v>
      </c>
      <c r="B55" s="28" t="s">
        <v>240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136"/>
      <c r="K55" s="135"/>
      <c r="L55" s="135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</row>
    <row r="56" spans="1:133" ht="24" customHeight="1">
      <c r="A56" s="17" t="s">
        <v>53</v>
      </c>
      <c r="B56" s="28" t="s">
        <v>241</v>
      </c>
      <c r="C56" s="45">
        <v>4248</v>
      </c>
      <c r="D56" s="45">
        <v>3296</v>
      </c>
      <c r="E56" s="45">
        <f>'собіварт в фін.план.'!C83</f>
        <v>4692</v>
      </c>
      <c r="F56" s="45">
        <f>824+349</f>
        <v>1173</v>
      </c>
      <c r="G56" s="45">
        <f>824+349</f>
        <v>1173</v>
      </c>
      <c r="H56" s="45">
        <f>824+349</f>
        <v>1173</v>
      </c>
      <c r="I56" s="45">
        <f>824+349</f>
        <v>1173</v>
      </c>
      <c r="J56" s="136"/>
      <c r="K56" s="135"/>
      <c r="L56" s="136"/>
      <c r="M56" s="29"/>
      <c r="N56" s="35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</row>
    <row r="57" spans="1:133" s="14" customFormat="1" ht="15.75" customHeight="1">
      <c r="A57" s="18" t="s">
        <v>54</v>
      </c>
      <c r="B57" s="28">
        <v>15</v>
      </c>
      <c r="C57" s="45">
        <v>985</v>
      </c>
      <c r="D57" s="45">
        <v>886</v>
      </c>
      <c r="E57" s="45">
        <f>'собіварт в фін.план.'!C49</f>
        <v>1028</v>
      </c>
      <c r="F57" s="45">
        <f>222+35</f>
        <v>257</v>
      </c>
      <c r="G57" s="45">
        <f>221+35</f>
        <v>256</v>
      </c>
      <c r="H57" s="45">
        <f>221+36</f>
        <v>257</v>
      </c>
      <c r="I57" s="45">
        <f>222+36</f>
        <v>258</v>
      </c>
      <c r="J57" s="136"/>
      <c r="K57" s="135"/>
      <c r="L57" s="136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</row>
    <row r="58" spans="1:133" ht="26.25" customHeight="1">
      <c r="A58" s="17" t="s">
        <v>55</v>
      </c>
      <c r="B58" s="28">
        <v>16</v>
      </c>
      <c r="C58" s="45">
        <v>19825</v>
      </c>
      <c r="D58" s="45">
        <v>23397</v>
      </c>
      <c r="E58" s="45">
        <f>'собіварт в фін.план.'!C62</f>
        <v>10211</v>
      </c>
      <c r="F58" s="45">
        <v>2552</v>
      </c>
      <c r="G58" s="45">
        <v>2552</v>
      </c>
      <c r="H58" s="45">
        <v>2553</v>
      </c>
      <c r="I58" s="45">
        <v>2554</v>
      </c>
      <c r="J58" s="136"/>
      <c r="K58" s="135"/>
      <c r="L58" s="135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</row>
    <row r="59" spans="1:133" s="14" customFormat="1" ht="15.75" customHeight="1">
      <c r="A59" s="18" t="s">
        <v>56</v>
      </c>
      <c r="B59" s="28">
        <v>17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135"/>
      <c r="K59" s="135"/>
      <c r="L59" s="135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</row>
    <row r="60" spans="1:133" ht="15" customHeight="1">
      <c r="A60" s="18" t="s">
        <v>57</v>
      </c>
      <c r="B60" s="28">
        <v>18</v>
      </c>
      <c r="C60" s="45"/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135"/>
      <c r="K60" s="135"/>
      <c r="L60" s="135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</row>
    <row r="61" spans="1:133" s="14" customFormat="1" ht="15.75" customHeight="1">
      <c r="A61" s="18" t="s">
        <v>281</v>
      </c>
      <c r="B61" s="28">
        <v>19</v>
      </c>
      <c r="C61" s="45">
        <v>29378</v>
      </c>
      <c r="D61" s="45">
        <v>25960</v>
      </c>
      <c r="E61" s="45">
        <f>E46</f>
        <v>32968</v>
      </c>
      <c r="F61" s="45">
        <f>F46</f>
        <v>8242</v>
      </c>
      <c r="G61" s="45">
        <f>G46</f>
        <v>8242</v>
      </c>
      <c r="H61" s="45">
        <f>H46</f>
        <v>8242</v>
      </c>
      <c r="I61" s="45">
        <f>I46</f>
        <v>8242</v>
      </c>
      <c r="J61" s="136"/>
      <c r="K61" s="135"/>
      <c r="L61" s="135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</row>
    <row r="62" spans="1:133" ht="27" customHeight="1">
      <c r="A62" s="17" t="s">
        <v>58</v>
      </c>
      <c r="B62" s="28">
        <v>20</v>
      </c>
      <c r="C62" s="45">
        <v>0</v>
      </c>
      <c r="D62" s="45">
        <v>20</v>
      </c>
      <c r="E62" s="45">
        <f>101*0.2</f>
        <v>20</v>
      </c>
      <c r="F62" s="45">
        <v>5</v>
      </c>
      <c r="G62" s="45">
        <v>5</v>
      </c>
      <c r="H62" s="45">
        <v>5</v>
      </c>
      <c r="I62" s="45">
        <v>5</v>
      </c>
      <c r="J62" s="49"/>
      <c r="K62" s="135"/>
      <c r="L62" s="135"/>
      <c r="M62" s="122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</row>
    <row r="63" spans="1:133" ht="27" customHeight="1">
      <c r="A63" s="17" t="s">
        <v>193</v>
      </c>
      <c r="B63" s="28">
        <v>21</v>
      </c>
      <c r="C63" s="45"/>
      <c r="D63" s="45"/>
      <c r="E63" s="45"/>
      <c r="F63" s="45"/>
      <c r="G63" s="45"/>
      <c r="H63" s="45"/>
      <c r="I63" s="45"/>
      <c r="J63" s="135"/>
      <c r="K63" s="135"/>
      <c r="L63" s="135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</row>
    <row r="64" spans="1:133" s="14" customFormat="1" ht="18.75" customHeight="1">
      <c r="A64" s="22" t="s">
        <v>59</v>
      </c>
      <c r="B64" s="28">
        <v>22</v>
      </c>
      <c r="C64" s="47">
        <f aca="true" t="shared" si="1" ref="C64:I64">C50+C51+C57+C58+C59+C60+C61+C62+C63</f>
        <v>105645</v>
      </c>
      <c r="D64" s="47">
        <f t="shared" si="1"/>
        <v>105658</v>
      </c>
      <c r="E64" s="47">
        <f t="shared" si="1"/>
        <v>101698</v>
      </c>
      <c r="F64" s="47">
        <f t="shared" si="1"/>
        <v>25363</v>
      </c>
      <c r="G64" s="47">
        <f t="shared" si="1"/>
        <v>25388</v>
      </c>
      <c r="H64" s="47">
        <f t="shared" si="1"/>
        <v>25422</v>
      </c>
      <c r="I64" s="47">
        <f t="shared" si="1"/>
        <v>25525</v>
      </c>
      <c r="J64" s="136"/>
      <c r="K64" s="135"/>
      <c r="L64" s="135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</row>
    <row r="65" spans="1:133" ht="14.25" customHeight="1">
      <c r="A65" s="2" t="s">
        <v>60</v>
      </c>
      <c r="B65" s="27" t="s">
        <v>23</v>
      </c>
      <c r="C65" s="48"/>
      <c r="D65" s="48"/>
      <c r="E65" s="48"/>
      <c r="F65" s="160"/>
      <c r="G65" s="46"/>
      <c r="H65" s="49"/>
      <c r="I65" s="46"/>
      <c r="J65" s="135"/>
      <c r="K65" s="135"/>
      <c r="L65" s="135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</row>
    <row r="66" spans="1:133" ht="14.25" customHeight="1">
      <c r="A66" s="2" t="s">
        <v>61</v>
      </c>
      <c r="B66" s="27">
        <v>23</v>
      </c>
      <c r="C66" s="50">
        <f aca="true" t="shared" si="2" ref="C66:I66">C42-C50</f>
        <v>-8118</v>
      </c>
      <c r="D66" s="50">
        <f t="shared" si="2"/>
        <v>3755</v>
      </c>
      <c r="E66" s="50">
        <f t="shared" si="2"/>
        <v>1361</v>
      </c>
      <c r="F66" s="50">
        <f t="shared" si="2"/>
        <v>353</v>
      </c>
      <c r="G66" s="50">
        <f t="shared" si="2"/>
        <v>323</v>
      </c>
      <c r="H66" s="50">
        <f t="shared" si="2"/>
        <v>341</v>
      </c>
      <c r="I66" s="50">
        <f t="shared" si="2"/>
        <v>344</v>
      </c>
      <c r="J66" s="136"/>
      <c r="K66" s="135"/>
      <c r="L66" s="135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</row>
    <row r="67" spans="1:133" s="14" customFormat="1" ht="23.25" customHeight="1">
      <c r="A67" s="17" t="s">
        <v>62</v>
      </c>
      <c r="B67" s="28">
        <v>24</v>
      </c>
      <c r="C67" s="45">
        <f aca="true" t="shared" si="3" ref="C67:I67">C66+C43-C51-C57-C58</f>
        <v>-17178</v>
      </c>
      <c r="D67" s="45">
        <f t="shared" si="3"/>
        <v>101</v>
      </c>
      <c r="E67" s="45">
        <f t="shared" si="3"/>
        <v>300</v>
      </c>
      <c r="F67" s="45">
        <f t="shared" si="3"/>
        <v>58</v>
      </c>
      <c r="G67" s="45">
        <f t="shared" si="3"/>
        <v>74</v>
      </c>
      <c r="H67" s="45">
        <f t="shared" si="3"/>
        <v>81</v>
      </c>
      <c r="I67" s="45">
        <f t="shared" si="3"/>
        <v>87</v>
      </c>
      <c r="J67" s="136"/>
      <c r="K67" s="135"/>
      <c r="L67" s="135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</row>
    <row r="68" spans="1:133" ht="38.25">
      <c r="A68" s="17" t="s">
        <v>63</v>
      </c>
      <c r="B68" s="28">
        <v>25</v>
      </c>
      <c r="C68" s="45">
        <f aca="true" t="shared" si="4" ref="C68:I68">C67+C46-C61</f>
        <v>-16944</v>
      </c>
      <c r="D68" s="45">
        <f t="shared" si="4"/>
        <v>101</v>
      </c>
      <c r="E68" s="45">
        <f t="shared" si="4"/>
        <v>300</v>
      </c>
      <c r="F68" s="45">
        <f t="shared" si="4"/>
        <v>58</v>
      </c>
      <c r="G68" s="45">
        <f t="shared" si="4"/>
        <v>74</v>
      </c>
      <c r="H68" s="45">
        <f t="shared" si="4"/>
        <v>81</v>
      </c>
      <c r="I68" s="45">
        <f t="shared" si="4"/>
        <v>87</v>
      </c>
      <c r="J68" s="136"/>
      <c r="K68" s="135"/>
      <c r="L68" s="135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</row>
    <row r="69" spans="1:133" s="14" customFormat="1" ht="14.25" customHeight="1">
      <c r="A69" s="18" t="s">
        <v>64</v>
      </c>
      <c r="B69" s="28">
        <v>26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136"/>
      <c r="K69" s="135"/>
      <c r="L69" s="135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</row>
    <row r="70" spans="1:133" ht="23.25" customHeight="1">
      <c r="A70" s="17" t="s">
        <v>65</v>
      </c>
      <c r="B70" s="28">
        <v>27</v>
      </c>
      <c r="C70" s="45">
        <f aca="true" t="shared" si="5" ref="C70:I70">C68-C62</f>
        <v>-16944</v>
      </c>
      <c r="D70" s="45">
        <f t="shared" si="5"/>
        <v>81</v>
      </c>
      <c r="E70" s="45">
        <f t="shared" si="5"/>
        <v>280</v>
      </c>
      <c r="F70" s="45">
        <f t="shared" si="5"/>
        <v>53</v>
      </c>
      <c r="G70" s="45">
        <f t="shared" si="5"/>
        <v>69</v>
      </c>
      <c r="H70" s="45">
        <f t="shared" si="5"/>
        <v>76</v>
      </c>
      <c r="I70" s="45">
        <f t="shared" si="5"/>
        <v>82</v>
      </c>
      <c r="J70" s="136"/>
      <c r="K70" s="135"/>
      <c r="L70" s="136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</row>
    <row r="71" spans="1:133" s="14" customFormat="1" ht="15" customHeight="1">
      <c r="A71" s="18" t="s">
        <v>66</v>
      </c>
      <c r="B71" s="100" t="s">
        <v>242</v>
      </c>
      <c r="C71" s="45">
        <v>0</v>
      </c>
      <c r="D71" s="45">
        <f aca="true" t="shared" si="6" ref="D71:I71">D70</f>
        <v>81</v>
      </c>
      <c r="E71" s="45">
        <f t="shared" si="6"/>
        <v>280</v>
      </c>
      <c r="F71" s="45">
        <f t="shared" si="6"/>
        <v>53</v>
      </c>
      <c r="G71" s="45">
        <f t="shared" si="6"/>
        <v>69</v>
      </c>
      <c r="H71" s="45">
        <f t="shared" si="6"/>
        <v>76</v>
      </c>
      <c r="I71" s="45">
        <f t="shared" si="6"/>
        <v>82</v>
      </c>
      <c r="J71" s="136"/>
      <c r="K71" s="135"/>
      <c r="L71" s="135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</row>
    <row r="72" spans="1:133" s="14" customFormat="1" ht="14.25" customHeight="1">
      <c r="A72" s="18" t="s">
        <v>67</v>
      </c>
      <c r="B72" s="100" t="s">
        <v>243</v>
      </c>
      <c r="C72" s="45">
        <f>C70</f>
        <v>-16944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136"/>
      <c r="K72" s="135"/>
      <c r="L72" s="135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</row>
    <row r="73" spans="1:133" ht="15.75" customHeight="1">
      <c r="A73" s="2"/>
      <c r="B73" s="27"/>
      <c r="C73" s="24" t="s">
        <v>68</v>
      </c>
      <c r="D73" s="2"/>
      <c r="E73" s="2"/>
      <c r="F73" s="161"/>
      <c r="G73" s="2"/>
      <c r="H73" s="29"/>
      <c r="I73" s="2"/>
      <c r="J73" s="135"/>
      <c r="K73" s="135"/>
      <c r="L73" s="135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</row>
    <row r="74" spans="1:133" s="14" customFormat="1" ht="39.75" customHeight="1">
      <c r="A74" s="17" t="s">
        <v>218</v>
      </c>
      <c r="B74" s="28">
        <v>28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35"/>
      <c r="K74" s="135"/>
      <c r="L74" s="135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</row>
    <row r="75" spans="1:133" s="15" customFormat="1" ht="38.25" customHeight="1">
      <c r="A75" s="17" t="s">
        <v>219</v>
      </c>
      <c r="B75" s="44" t="s">
        <v>228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38"/>
      <c r="K75" s="138"/>
      <c r="L75" s="138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4"/>
    </row>
    <row r="76" spans="1:133" ht="51" customHeight="1">
      <c r="A76" s="17" t="s">
        <v>222</v>
      </c>
      <c r="B76" s="28" t="s">
        <v>229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</row>
    <row r="77" spans="1:133" s="14" customFormat="1" ht="26.25" customHeight="1">
      <c r="A77" s="17" t="s">
        <v>220</v>
      </c>
      <c r="B77" s="28">
        <v>29</v>
      </c>
      <c r="C77" s="18">
        <v>0</v>
      </c>
      <c r="D77" s="18">
        <v>0</v>
      </c>
      <c r="E77" s="18">
        <v>0</v>
      </c>
      <c r="F77" s="18" t="s">
        <v>69</v>
      </c>
      <c r="G77" s="18" t="s">
        <v>69</v>
      </c>
      <c r="H77" s="18" t="s">
        <v>69</v>
      </c>
      <c r="I77" s="18" t="s">
        <v>69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</row>
    <row r="78" spans="1:133" ht="102.75" customHeight="1">
      <c r="A78" s="17" t="s">
        <v>221</v>
      </c>
      <c r="B78" s="28" t="s">
        <v>230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</row>
    <row r="79" spans="1:133" ht="17.25" customHeight="1">
      <c r="A79" s="18" t="s">
        <v>223</v>
      </c>
      <c r="B79" s="28" t="s">
        <v>231</v>
      </c>
      <c r="C79" s="18">
        <v>0</v>
      </c>
      <c r="D79" s="18">
        <v>0</v>
      </c>
      <c r="E79" s="18">
        <v>0</v>
      </c>
      <c r="F79" s="18" t="s">
        <v>69</v>
      </c>
      <c r="G79" s="18" t="s">
        <v>69</v>
      </c>
      <c r="H79" s="18" t="s">
        <v>69</v>
      </c>
      <c r="I79" s="18" t="s">
        <v>69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</row>
    <row r="80" spans="1:133" ht="130.5" customHeight="1">
      <c r="A80" s="17" t="s">
        <v>224</v>
      </c>
      <c r="B80" s="28">
        <v>30</v>
      </c>
      <c r="C80" s="18"/>
      <c r="D80" s="18"/>
      <c r="E80" s="18"/>
      <c r="F80" s="18"/>
      <c r="G80" s="18"/>
      <c r="H80" s="18"/>
      <c r="I80" s="1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</row>
    <row r="81" spans="1:133" s="14" customFormat="1" ht="37.5" customHeight="1">
      <c r="A81" s="17" t="s">
        <v>225</v>
      </c>
      <c r="B81" s="28">
        <v>31</v>
      </c>
      <c r="C81" s="45">
        <f>C72</f>
        <v>-16944</v>
      </c>
      <c r="D81" s="45">
        <v>0</v>
      </c>
      <c r="E81" s="45">
        <v>0</v>
      </c>
      <c r="F81" s="45" t="s">
        <v>69</v>
      </c>
      <c r="G81" s="45" t="s">
        <v>69</v>
      </c>
      <c r="H81" s="45" t="s">
        <v>69</v>
      </c>
      <c r="I81" s="45" t="s">
        <v>69</v>
      </c>
      <c r="J81" s="4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</row>
    <row r="82" spans="1:133" ht="13.5" customHeight="1">
      <c r="A82" s="18" t="s">
        <v>70</v>
      </c>
      <c r="B82" s="28">
        <v>0.32</v>
      </c>
      <c r="C82" s="45">
        <v>0</v>
      </c>
      <c r="D82" s="45">
        <f>D70</f>
        <v>81</v>
      </c>
      <c r="E82" s="45">
        <f>E71</f>
        <v>280</v>
      </c>
      <c r="F82" s="45">
        <f>F71</f>
        <v>53</v>
      </c>
      <c r="G82" s="45">
        <f>G71</f>
        <v>69</v>
      </c>
      <c r="H82" s="45">
        <f>H71</f>
        <v>76</v>
      </c>
      <c r="I82" s="45">
        <f>I71</f>
        <v>82</v>
      </c>
      <c r="J82" s="4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</row>
    <row r="83" spans="1:133" s="14" customFormat="1" ht="38.25">
      <c r="A83" s="17" t="s">
        <v>71</v>
      </c>
      <c r="B83" s="28" t="s">
        <v>232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</row>
    <row r="84" spans="1:133" s="14" customFormat="1" ht="14.25" customHeight="1">
      <c r="A84" s="18" t="s">
        <v>72</v>
      </c>
      <c r="B84" s="28">
        <v>33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</row>
    <row r="85" spans="1:133" ht="14.25" customHeight="1">
      <c r="A85" s="18" t="s">
        <v>73</v>
      </c>
      <c r="B85" s="28">
        <v>34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</row>
    <row r="86" spans="1:133" ht="14.25" customHeight="1">
      <c r="A86" s="18" t="s">
        <v>226</v>
      </c>
      <c r="B86" s="28">
        <v>35</v>
      </c>
      <c r="C86" s="18">
        <v>0</v>
      </c>
      <c r="D86" s="18">
        <v>0</v>
      </c>
      <c r="E86" s="18">
        <v>0</v>
      </c>
      <c r="F86" s="98">
        <v>0</v>
      </c>
      <c r="G86" s="18">
        <v>0</v>
      </c>
      <c r="H86" s="98">
        <v>0</v>
      </c>
      <c r="I86" s="18">
        <v>0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</row>
    <row r="87" spans="1:133" s="14" customFormat="1" ht="39.75" customHeight="1">
      <c r="A87" s="17" t="s">
        <v>227</v>
      </c>
      <c r="B87" s="28">
        <v>36</v>
      </c>
      <c r="C87" s="18">
        <v>0</v>
      </c>
      <c r="D87" s="18">
        <v>0</v>
      </c>
      <c r="E87" s="18">
        <v>0</v>
      </c>
      <c r="F87" s="18" t="s">
        <v>69</v>
      </c>
      <c r="G87" s="18" t="s">
        <v>69</v>
      </c>
      <c r="H87" s="18" t="s">
        <v>69</v>
      </c>
      <c r="I87" s="18" t="s">
        <v>69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</row>
    <row r="88" spans="1:133" s="31" customFormat="1" ht="15">
      <c r="A88" s="43" t="s">
        <v>92</v>
      </c>
      <c r="B88" s="42"/>
      <c r="C88" s="19"/>
      <c r="D88" s="19"/>
      <c r="E88" s="19"/>
      <c r="F88" s="162"/>
      <c r="G88" s="19"/>
      <c r="H88" s="134"/>
      <c r="I88" s="19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  <c r="DU88" s="134"/>
      <c r="DV88" s="134"/>
      <c r="DW88" s="134"/>
      <c r="DX88" s="134"/>
      <c r="DY88" s="134"/>
      <c r="DZ88" s="134"/>
      <c r="EA88" s="134"/>
      <c r="EB88" s="134"/>
      <c r="EC88" s="134"/>
    </row>
    <row r="89" spans="1:133" s="14" customFormat="1" ht="39" customHeight="1">
      <c r="A89" s="17" t="s">
        <v>74</v>
      </c>
      <c r="B89" s="28">
        <v>37</v>
      </c>
      <c r="C89" s="45">
        <f aca="true" t="shared" si="7" ref="C89:I89">C90+C91+C92+C93+C94+C95+C96</f>
        <v>5536</v>
      </c>
      <c r="D89" s="45">
        <f t="shared" si="7"/>
        <v>7567</v>
      </c>
      <c r="E89" s="45">
        <f t="shared" si="7"/>
        <v>5556</v>
      </c>
      <c r="F89" s="45">
        <f t="shared" si="7"/>
        <v>1618</v>
      </c>
      <c r="G89" s="45">
        <f t="shared" si="7"/>
        <v>1261</v>
      </c>
      <c r="H89" s="45">
        <f t="shared" si="7"/>
        <v>1029</v>
      </c>
      <c r="I89" s="45">
        <f t="shared" si="7"/>
        <v>1648</v>
      </c>
      <c r="J89" s="35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</row>
    <row r="90" spans="1:133" ht="15" customHeight="1">
      <c r="A90" s="18" t="s">
        <v>75</v>
      </c>
      <c r="B90" s="28" t="s">
        <v>199</v>
      </c>
      <c r="C90" s="45">
        <v>0</v>
      </c>
      <c r="D90" s="45">
        <v>20</v>
      </c>
      <c r="E90" s="45">
        <f>E62</f>
        <v>20</v>
      </c>
      <c r="F90" s="45">
        <f>F62</f>
        <v>5</v>
      </c>
      <c r="G90" s="45">
        <f>G62</f>
        <v>5</v>
      </c>
      <c r="H90" s="45">
        <f>H62</f>
        <v>5</v>
      </c>
      <c r="I90" s="45">
        <f>I62</f>
        <v>5</v>
      </c>
      <c r="J90" s="35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</row>
    <row r="91" spans="1:133" s="14" customFormat="1" ht="13.5" customHeight="1">
      <c r="A91" s="18" t="s">
        <v>76</v>
      </c>
      <c r="B91" s="28" t="s">
        <v>200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</row>
    <row r="92" spans="1:133" ht="39.75" customHeight="1">
      <c r="A92" s="17" t="s">
        <v>77</v>
      </c>
      <c r="B92" s="28" t="s">
        <v>201</v>
      </c>
      <c r="C92" s="45">
        <v>5536</v>
      </c>
      <c r="D92" s="45">
        <v>7547</v>
      </c>
      <c r="E92" s="45">
        <v>5536</v>
      </c>
      <c r="F92" s="45">
        <f>F38-900-423</f>
        <v>1613</v>
      </c>
      <c r="G92" s="45">
        <f>G38-900-423</f>
        <v>1256</v>
      </c>
      <c r="H92" s="45">
        <f>H38-900-423</f>
        <v>1024</v>
      </c>
      <c r="I92" s="45">
        <f>I38-900-423</f>
        <v>1643</v>
      </c>
      <c r="J92" s="35"/>
      <c r="K92" s="29"/>
      <c r="L92" s="29"/>
      <c r="M92" s="4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</row>
    <row r="93" spans="1:133" s="14" customFormat="1" ht="39" customHeight="1">
      <c r="A93" s="17" t="s">
        <v>78</v>
      </c>
      <c r="B93" s="28" t="s">
        <v>202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</row>
    <row r="94" spans="1:133" ht="17.25" customHeight="1">
      <c r="A94" s="18" t="s">
        <v>79</v>
      </c>
      <c r="B94" s="28" t="s">
        <v>203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</row>
    <row r="95" spans="1:133" s="14" customFormat="1" ht="18" customHeight="1">
      <c r="A95" s="18" t="s">
        <v>80</v>
      </c>
      <c r="B95" s="28" t="s">
        <v>204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</row>
    <row r="96" spans="1:133" ht="18" customHeight="1">
      <c r="A96" s="18" t="s">
        <v>81</v>
      </c>
      <c r="B96" s="28" t="s">
        <v>205</v>
      </c>
      <c r="C96" s="45">
        <v>0</v>
      </c>
      <c r="D96" s="45">
        <f aca="true" t="shared" si="8" ref="D96:I96">D97+D98</f>
        <v>0</v>
      </c>
      <c r="E96" s="45">
        <f t="shared" si="8"/>
        <v>0</v>
      </c>
      <c r="F96" s="45">
        <f t="shared" si="8"/>
        <v>0</v>
      </c>
      <c r="G96" s="45">
        <f t="shared" si="8"/>
        <v>0</v>
      </c>
      <c r="H96" s="45">
        <f t="shared" si="8"/>
        <v>0</v>
      </c>
      <c r="I96" s="45">
        <f t="shared" si="8"/>
        <v>0</v>
      </c>
      <c r="J96" s="35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</row>
    <row r="97" spans="1:133" ht="37.5" customHeight="1">
      <c r="A97" s="17" t="s">
        <v>206</v>
      </c>
      <c r="B97" s="44" t="s">
        <v>209</v>
      </c>
      <c r="C97" s="45"/>
      <c r="D97" s="45"/>
      <c r="E97" s="45"/>
      <c r="F97" s="45"/>
      <c r="G97" s="45"/>
      <c r="H97" s="45"/>
      <c r="I97" s="45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</row>
    <row r="98" spans="1:133" ht="54" customHeight="1">
      <c r="A98" s="17" t="s">
        <v>207</v>
      </c>
      <c r="B98" s="44" t="s">
        <v>208</v>
      </c>
      <c r="C98" s="45"/>
      <c r="D98" s="45"/>
      <c r="E98" s="45"/>
      <c r="F98" s="45"/>
      <c r="G98" s="45"/>
      <c r="H98" s="45"/>
      <c r="I98" s="45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</row>
    <row r="99" spans="1:133" s="14" customFormat="1" ht="28.5" customHeight="1">
      <c r="A99" s="17" t="s">
        <v>82</v>
      </c>
      <c r="B99" s="28">
        <v>0.38</v>
      </c>
      <c r="C99" s="45">
        <f aca="true" t="shared" si="9" ref="C99:I99">C100+C101+C102</f>
        <v>0</v>
      </c>
      <c r="D99" s="45">
        <f>D100+D101+D102</f>
        <v>0</v>
      </c>
      <c r="E99" s="45">
        <f t="shared" si="9"/>
        <v>0</v>
      </c>
      <c r="F99" s="45">
        <f t="shared" si="9"/>
        <v>0</v>
      </c>
      <c r="G99" s="45">
        <f t="shared" si="9"/>
        <v>0</v>
      </c>
      <c r="H99" s="45">
        <f t="shared" si="9"/>
        <v>0</v>
      </c>
      <c r="I99" s="45">
        <f t="shared" si="9"/>
        <v>0</v>
      </c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</row>
    <row r="100" spans="1:133" ht="54" customHeight="1">
      <c r="A100" s="17" t="s">
        <v>210</v>
      </c>
      <c r="B100" s="28" t="s">
        <v>211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</row>
    <row r="101" spans="1:133" ht="15" customHeight="1">
      <c r="A101" s="18" t="s">
        <v>83</v>
      </c>
      <c r="B101" s="28" t="s">
        <v>212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</row>
    <row r="102" spans="1:133" s="14" customFormat="1" ht="16.5" customHeight="1">
      <c r="A102" s="18" t="s">
        <v>84</v>
      </c>
      <c r="B102" s="28" t="s">
        <v>213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</row>
    <row r="103" spans="1:133" ht="29.25" customHeight="1">
      <c r="A103" s="17" t="s">
        <v>85</v>
      </c>
      <c r="B103" s="28">
        <v>0.39</v>
      </c>
      <c r="C103" s="45">
        <f>C104</f>
        <v>5398</v>
      </c>
      <c r="D103" s="45">
        <f aca="true" t="shared" si="10" ref="D103:I103">D104+D105</f>
        <v>8853</v>
      </c>
      <c r="E103" s="45">
        <f t="shared" si="10"/>
        <v>5398</v>
      </c>
      <c r="F103" s="45">
        <f t="shared" si="10"/>
        <v>1113</v>
      </c>
      <c r="G103" s="45">
        <f>G104+G105</f>
        <v>1213</v>
      </c>
      <c r="H103" s="45">
        <f t="shared" si="10"/>
        <v>1212</v>
      </c>
      <c r="I103" s="45">
        <f t="shared" si="10"/>
        <v>1860</v>
      </c>
      <c r="J103" s="35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</row>
    <row r="104" spans="1:133" s="14" customFormat="1" ht="25.5" customHeight="1">
      <c r="A104" s="17" t="s">
        <v>86</v>
      </c>
      <c r="B104" s="28" t="s">
        <v>215</v>
      </c>
      <c r="C104" s="45">
        <v>5398</v>
      </c>
      <c r="D104" s="45">
        <v>8853</v>
      </c>
      <c r="E104" s="45">
        <v>5398</v>
      </c>
      <c r="F104" s="45">
        <f>1976-863</f>
        <v>1113</v>
      </c>
      <c r="G104" s="45">
        <f>1976+100-863</f>
        <v>1213</v>
      </c>
      <c r="H104" s="45">
        <f>1976+100-864</f>
        <v>1212</v>
      </c>
      <c r="I104" s="45">
        <f>2925-200-865</f>
        <v>1860</v>
      </c>
      <c r="J104" s="35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</row>
    <row r="105" spans="1:133" ht="27" customHeight="1">
      <c r="A105" s="17" t="s">
        <v>87</v>
      </c>
      <c r="B105" s="28" t="s">
        <v>214</v>
      </c>
      <c r="C105" s="45">
        <v>0</v>
      </c>
      <c r="D105" s="45">
        <f>E105+F105+G105+H105</f>
        <v>0</v>
      </c>
      <c r="E105" s="45">
        <f>F105+G105+H105+I105</f>
        <v>0</v>
      </c>
      <c r="F105" s="87">
        <v>0</v>
      </c>
      <c r="G105" s="45">
        <v>0</v>
      </c>
      <c r="H105" s="87">
        <v>0</v>
      </c>
      <c r="I105" s="45">
        <v>0</v>
      </c>
      <c r="J105" s="35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</row>
    <row r="106" spans="1:133" s="14" customFormat="1" ht="26.25" customHeight="1">
      <c r="A106" s="17" t="s">
        <v>88</v>
      </c>
      <c r="B106" s="28">
        <v>40</v>
      </c>
      <c r="C106" s="45">
        <f aca="true" t="shared" si="11" ref="C106:I106">C107+C108</f>
        <v>2103</v>
      </c>
      <c r="D106" s="45">
        <f>D107+D108</f>
        <v>1692</v>
      </c>
      <c r="E106" s="45">
        <f t="shared" si="11"/>
        <v>2103</v>
      </c>
      <c r="F106" s="45">
        <f t="shared" si="11"/>
        <v>525</v>
      </c>
      <c r="G106" s="45">
        <f t="shared" si="11"/>
        <v>525</v>
      </c>
      <c r="H106" s="45">
        <f t="shared" si="11"/>
        <v>526</v>
      </c>
      <c r="I106" s="45">
        <f t="shared" si="11"/>
        <v>527</v>
      </c>
      <c r="J106" s="35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</row>
    <row r="107" spans="1:133" ht="16.5" customHeight="1">
      <c r="A107" s="18" t="s">
        <v>89</v>
      </c>
      <c r="B107" s="28" t="s">
        <v>216</v>
      </c>
      <c r="C107" s="45">
        <v>558</v>
      </c>
      <c r="D107" s="45">
        <v>932</v>
      </c>
      <c r="E107" s="45">
        <v>558</v>
      </c>
      <c r="F107" s="45">
        <f>233-94</f>
        <v>139</v>
      </c>
      <c r="G107" s="45">
        <f>233-94</f>
        <v>139</v>
      </c>
      <c r="H107" s="87">
        <f>233-93</f>
        <v>140</v>
      </c>
      <c r="I107" s="45">
        <f>233-93</f>
        <v>140</v>
      </c>
      <c r="J107" s="35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</row>
    <row r="108" spans="1:133" s="14" customFormat="1" ht="15" customHeight="1">
      <c r="A108" s="18" t="s">
        <v>90</v>
      </c>
      <c r="B108" s="28" t="s">
        <v>217</v>
      </c>
      <c r="C108" s="45">
        <v>1545</v>
      </c>
      <c r="D108" s="45">
        <v>760</v>
      </c>
      <c r="E108" s="45">
        <v>1545</v>
      </c>
      <c r="F108" s="45">
        <f>190+196</f>
        <v>386</v>
      </c>
      <c r="G108" s="45">
        <f>190+196</f>
        <v>386</v>
      </c>
      <c r="H108" s="45">
        <f>190+196</f>
        <v>386</v>
      </c>
      <c r="I108" s="45">
        <f>190+197</f>
        <v>387</v>
      </c>
      <c r="J108" s="35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</row>
    <row r="109" spans="2:10" s="29" customFormat="1" ht="15" customHeight="1">
      <c r="B109" s="7"/>
      <c r="C109" s="49"/>
      <c r="D109" s="49"/>
      <c r="E109" s="49"/>
      <c r="F109" s="49"/>
      <c r="G109" s="49"/>
      <c r="H109" s="49"/>
      <c r="I109" s="49"/>
      <c r="J109" s="35"/>
    </row>
    <row r="110" spans="1:133" ht="12.75">
      <c r="A110" t="s">
        <v>312</v>
      </c>
      <c r="F110" t="s">
        <v>313</v>
      </c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</row>
    <row r="111" spans="10:133" ht="12.75"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</row>
    <row r="112" spans="1:133" ht="12.75">
      <c r="A112" t="s">
        <v>331</v>
      </c>
      <c r="F112" t="s">
        <v>332</v>
      </c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</row>
    <row r="113" spans="1:133" ht="12.75">
      <c r="A113" s="13" t="s">
        <v>303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</row>
    <row r="114" spans="10:133" ht="12.75"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</row>
    <row r="115" spans="10:133" ht="12.75"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</row>
    <row r="116" spans="10:133" ht="12.75"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</row>
    <row r="117" spans="10:133" ht="12.75"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</row>
    <row r="118" spans="10:133" ht="12.75"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</row>
    <row r="119" spans="10:133" ht="12.75"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</row>
    <row r="120" spans="10:133" ht="12.75"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</row>
    <row r="121" spans="10:133" ht="12.75"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</row>
    <row r="122" spans="10:133" ht="12.75"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</row>
    <row r="123" spans="10:133" ht="12.75"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</row>
    <row r="124" spans="10:133" ht="12.75"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</row>
    <row r="125" spans="10:133" ht="12.75"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</row>
    <row r="126" spans="10:133" ht="12.75"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</row>
    <row r="127" spans="10:133" ht="12.75"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</row>
    <row r="128" spans="10:133" ht="12.75"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</row>
    <row r="129" spans="10:133" ht="12.75"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</row>
    <row r="130" spans="10:133" ht="12.75"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</row>
    <row r="131" spans="10:133" ht="12.75"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</row>
    <row r="132" spans="10:133" ht="12.75"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</row>
    <row r="133" spans="10:133" ht="12.75"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</row>
    <row r="134" spans="10:133" ht="12.75"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</row>
    <row r="135" spans="10:133" ht="12.75"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</row>
    <row r="136" spans="10:133" ht="12.75"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</row>
    <row r="137" spans="10:133" ht="12.75"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</row>
    <row r="138" spans="10:133" ht="12.75"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</row>
    <row r="139" spans="10:133" ht="12.75"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</row>
    <row r="140" spans="10:133" ht="12.75"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</row>
    <row r="141" spans="10:133" ht="12.75"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</row>
    <row r="142" spans="10:133" ht="12.75"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</row>
    <row r="143" spans="10:133" ht="12.75"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</row>
    <row r="144" spans="10:133" ht="12.75"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</row>
    <row r="145" spans="10:133" ht="12.75"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</row>
    <row r="146" spans="10:133" ht="12.75"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</row>
    <row r="147" spans="10:133" ht="12.75"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</row>
    <row r="148" spans="10:133" ht="12.75"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</row>
    <row r="149" spans="10:133" ht="12.75"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</row>
    <row r="150" spans="10:133" ht="12.75"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</row>
    <row r="151" spans="10:133" ht="12.75"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</row>
    <row r="152" spans="10:133" ht="12.75"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</row>
    <row r="153" spans="10:133" ht="12.75"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</row>
    <row r="154" spans="10:133" ht="12.75"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</row>
    <row r="155" spans="10:133" ht="12.75"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</row>
    <row r="156" spans="10:133" ht="12.75"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</row>
    <row r="157" spans="10:133" ht="12.75"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</row>
    <row r="158" spans="10:133" ht="12.75"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</row>
    <row r="159" spans="10:133" ht="12.75"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</row>
    <row r="160" spans="10:133" ht="12.75"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</row>
    <row r="161" spans="10:133" ht="12.75"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</row>
    <row r="162" spans="10:133" ht="12.75"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</row>
    <row r="163" spans="10:133" ht="12.75"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</row>
    <row r="164" spans="10:133" ht="12.75"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</row>
    <row r="165" spans="10:133" ht="12.75"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</row>
    <row r="166" spans="10:133" ht="12.75"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</row>
    <row r="167" spans="10:133" ht="12.75"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</row>
    <row r="168" spans="10:133" ht="12.75"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</row>
    <row r="169" spans="10:133" ht="12.75"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</row>
    <row r="170" spans="10:133" ht="12.75"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</row>
    <row r="171" spans="10:133" ht="12.75"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</row>
    <row r="172" spans="10:133" ht="12.75"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</row>
    <row r="173" spans="10:133" ht="12.75"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</row>
    <row r="174" spans="10:133" ht="12.75"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</row>
    <row r="175" spans="10:133" ht="12.75"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</row>
    <row r="176" spans="10:133" ht="12.75"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</row>
    <row r="177" spans="10:133" ht="12.75"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</row>
    <row r="178" spans="10:133" ht="12.75"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</row>
    <row r="179" spans="10:133" ht="12.75"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</row>
    <row r="180" spans="10:133" ht="12.75"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</row>
    <row r="181" spans="10:133" ht="12.75"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</row>
    <row r="182" spans="10:133" ht="12.75"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</row>
    <row r="183" spans="10:133" ht="12.75"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</row>
    <row r="184" spans="10:133" ht="12.75"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</row>
    <row r="185" spans="10:133" ht="12.75"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</row>
    <row r="186" spans="10:133" ht="12.75"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</row>
    <row r="187" spans="10:133" ht="12.75"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</row>
    <row r="188" spans="10:133" ht="12.75"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</row>
    <row r="189" spans="10:133" ht="12.75"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</row>
    <row r="190" spans="10:133" ht="12.75"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</row>
    <row r="191" spans="10:133" ht="12.75"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</row>
    <row r="192" spans="10:133" ht="12.75"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</row>
    <row r="193" spans="10:133" ht="12.75"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</row>
    <row r="194" spans="10:133" ht="12.75"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</row>
    <row r="195" spans="10:133" ht="12.75"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</row>
    <row r="196" spans="10:133" ht="12.75"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</row>
    <row r="197" spans="10:133" ht="12.75"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</row>
    <row r="198" spans="10:133" ht="12.75"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</row>
    <row r="199" spans="10:133" ht="12.75"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</row>
    <row r="200" spans="10:133" ht="12.75"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</row>
    <row r="201" spans="10:133" ht="12.75"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</row>
    <row r="202" spans="10:133" ht="12.75"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</row>
    <row r="203" spans="10:133" ht="12.75"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</row>
    <row r="204" spans="10:133" ht="12.75"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</row>
    <row r="205" spans="10:133" ht="12.75"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</row>
    <row r="206" spans="10:133" ht="12.75"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</row>
    <row r="207" spans="10:133" ht="12.75"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</row>
    <row r="208" spans="10:133" ht="12.75"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</row>
    <row r="209" spans="10:133" ht="12.75"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</row>
    <row r="210" spans="10:133" ht="12.75"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</row>
    <row r="211" spans="10:133" ht="12.75"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</row>
    <row r="212" spans="10:133" ht="12.75"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</row>
    <row r="213" spans="10:133" ht="12.75"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</row>
    <row r="214" spans="10:133" ht="12.75"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</row>
    <row r="215" spans="10:133" ht="12.75"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</row>
    <row r="216" spans="10:133" ht="12.75"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</row>
    <row r="217" spans="10:133" ht="12.75"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</row>
    <row r="218" spans="10:133" ht="12.75"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</row>
    <row r="219" spans="10:133" ht="12.75"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</row>
    <row r="220" spans="10:133" ht="12.75"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</row>
    <row r="221" spans="10:133" ht="12.75"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</row>
    <row r="222" spans="10:133" ht="12.75"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</row>
    <row r="223" spans="10:133" ht="12.75"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</row>
    <row r="224" spans="10:133" ht="12.75"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</row>
    <row r="225" spans="10:133" ht="12.75"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</row>
    <row r="226" spans="10:133" ht="12.75"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</row>
    <row r="227" spans="10:133" ht="12.75"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</row>
    <row r="228" spans="10:133" ht="12.75"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</row>
    <row r="229" spans="10:133" ht="12.75"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</row>
    <row r="230" spans="10:133" ht="12.75"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</row>
    <row r="231" spans="10:133" ht="12.75"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</row>
    <row r="232" spans="10:133" ht="12.75"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</row>
    <row r="233" spans="13:133" ht="12.75"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</row>
    <row r="234" spans="13:133" ht="12.75"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</row>
    <row r="235" spans="13:133" ht="12.75"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</row>
    <row r="236" spans="13:133" ht="12.75"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</row>
    <row r="237" spans="13:133" ht="12.75"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</row>
    <row r="238" spans="13:133" ht="12.75"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</row>
    <row r="239" spans="13:133" ht="12.75"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</row>
    <row r="240" spans="13:133" ht="12.75"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</row>
    <row r="241" spans="13:133" ht="12.75"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</row>
    <row r="242" spans="13:133" ht="12.75"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</row>
    <row r="243" spans="13:133" ht="12.75"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</row>
    <row r="244" spans="13:133" ht="12.75"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</row>
    <row r="245" spans="13:133" ht="12.75"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</row>
    <row r="246" spans="13:133" ht="12.75"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</row>
    <row r="247" spans="13:133" ht="12.75"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</row>
  </sheetData>
  <sheetProtection/>
  <printOptions/>
  <pageMargins left="0.29" right="0.25" top="0.4" bottom="0.17" header="0.2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2018-07-03T05:59:38Z</cp:lastPrinted>
  <dcterms:created xsi:type="dcterms:W3CDTF">1996-10-08T23:32:33Z</dcterms:created>
  <dcterms:modified xsi:type="dcterms:W3CDTF">2018-07-06T06:02:51Z</dcterms:modified>
  <cp:category/>
  <cp:version/>
  <cp:contentType/>
  <cp:contentStatus/>
</cp:coreProperties>
</file>